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Purchase orders" sheetId="3" state="visible" r:id="rId3"/>
    <sheet xmlns:r="http://schemas.openxmlformats.org/officeDocument/2006/relationships" name="Bills" sheetId="4" state="visible" r:id="rId4"/>
    <sheet xmlns:r="http://schemas.openxmlformats.org/officeDocument/2006/relationships" name="Payments" sheetId="5" state="visible" r:id="rId5"/>
    <sheet xmlns:r="http://schemas.openxmlformats.org/officeDocument/2006/relationships" name="Report" sheetId="6" state="visible" r:id="rId6"/>
    <sheet xmlns:r="http://schemas.openxmlformats.org/officeDocument/2006/relationships" name="Dashboard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[$₹-4009]#,##,##0;[Red]-[$₹-4009]#,##,##0"/>
    <numFmt numFmtId="167" formatCode="0.0%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2" borderId="1" pivotButton="0" quotePrefix="0" xfId="0"/>
    <xf numFmtId="0" fontId="0" fillId="4" borderId="1" pivotButton="0" quotePrefix="0" xfId="0"/>
    <xf numFmtId="166" fontId="0" fillId="2" borderId="1" pivotButton="0" quotePrefix="0" xfId="0"/>
    <xf numFmtId="165" fontId="0" fillId="4" borderId="1" pivotButton="0" quotePrefix="0" xfId="0"/>
    <xf numFmtId="166" fontId="0" fillId="4" borderId="1" pivotButton="0" quotePrefix="0" xfId="0"/>
    <xf numFmtId="167" fontId="0" fillId="4" borderId="1" pivotButton="0" quotePrefix="0" xfId="0"/>
    <xf numFmtId="0" fontId="3" fillId="5" borderId="1" pivotButton="0" quotePrefix="0" xfId="0"/>
    <xf numFmtId="166" fontId="3" fillId="5" borderId="1" pivotButton="0" quotePrefix="0" xfId="0"/>
    <xf numFmtId="166" fontId="4" fillId="4" borderId="1" applyAlignment="1" pivotButton="0" quotePrefix="0" xfId="0">
      <alignment horizontal="center"/>
    </xf>
    <xf numFmtId="167" fontId="4" fillId="4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3">
    <dxf>
      <fill>
        <patternFill patternType="solid">
          <fgColor rgb="00C6EFCE"/>
        </patternFill>
      </fill>
    </dxf>
    <dxf>
      <fill>
        <patternFill patternType="solid">
          <fgColor rgb="00FDECEC"/>
        </patternFill>
      </fill>
    </dxf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Outstanding by vendor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'Report'!$B$5:$B$9</f>
            </numRef>
          </cat>
          <val>
            <numRef>
              <f>'Report'!$E$5:$E$9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Unpaid balance by age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'Report'!$A$13:$A$16</f>
            </numRef>
          </cat>
          <val>
            <numRef>
              <f>'Report'!$B$13:$B$16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43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Vendor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(vendors, terms, rating, lists), Purchase orders, Bills, Payments, Report (scorecard and ageing), Dashboard.</t>
        </is>
      </c>
    </row>
    <row r="8">
      <c r="A8" t="inlineStr">
        <is>
          <t>Workflow: raise a PO, type the received date when goods arrive, enter the vendor bill against the PO, record each payment against the bill number.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cols>
    <col width="10" customWidth="1" min="1" max="1"/>
    <col width="20" customWidth="1" min="2" max="2"/>
    <col width="10" customWidth="1" min="3" max="3"/>
    <col width="13" customWidth="1" min="4" max="4"/>
    <col width="12" customWidth="1" min="5" max="5"/>
    <col width="12" customWidth="1" min="6" max="6"/>
    <col width="13" customWidth="1" min="8" max="8"/>
    <col width="13" customWidth="1" min="9" max="9"/>
  </cols>
  <sheetData>
    <row r="1">
      <c r="A1" s="1" t="inlineStr">
        <is>
          <t>Vendor Management System: Setup (Bagale Engineering Works, Pune)</t>
        </is>
      </c>
    </row>
    <row r="2">
      <c r="A2" s="2" t="inlineStr">
        <is>
          <t>Made-up vendors. Payment terms drive bill due dates; the quality rating feeds the vendor score.</t>
        </is>
      </c>
    </row>
    <row r="3">
      <c r="A3" s="3" t="inlineStr">
        <is>
          <t>As-of date</t>
        </is>
      </c>
      <c r="B3" s="4" t="n">
        <v>46312</v>
      </c>
      <c r="C3" s="2" t="inlineStr">
        <is>
          <t>Type =TODAY() to make it live; the example is fixed at 17-10-2026.</t>
        </is>
      </c>
    </row>
    <row r="5">
      <c r="A5" s="5" t="inlineStr">
        <is>
          <t>Vendor ID</t>
        </is>
      </c>
      <c r="B5" s="5" t="inlineStr">
        <is>
          <t>Vendor</t>
        </is>
      </c>
      <c r="C5" s="5" t="inlineStr">
        <is>
          <t>City</t>
        </is>
      </c>
      <c r="D5" s="5" t="inlineStr">
        <is>
          <t>Category</t>
        </is>
      </c>
      <c r="E5" s="5" t="inlineStr">
        <is>
          <t>Payment terms (days)</t>
        </is>
      </c>
      <c r="F5" s="5" t="inlineStr">
        <is>
          <t>Quality rating (1-5)</t>
        </is>
      </c>
      <c r="H5" s="6" t="inlineStr">
        <is>
          <t>Categories</t>
        </is>
      </c>
      <c r="I5" s="6" t="inlineStr">
        <is>
          <t>Payment modes</t>
        </is>
      </c>
    </row>
    <row r="6">
      <c r="A6" s="7" t="inlineStr">
        <is>
          <t>V01</t>
        </is>
      </c>
      <c r="B6" s="7" t="inlineStr">
        <is>
          <t>Raja Steel Traders</t>
        </is>
      </c>
      <c r="C6" s="7" t="inlineStr">
        <is>
          <t>Solapur</t>
        </is>
      </c>
      <c r="D6" s="7" t="inlineStr">
        <is>
          <t>Raw material</t>
        </is>
      </c>
      <c r="E6" s="7" t="n">
        <v>30</v>
      </c>
      <c r="F6" s="7" t="n">
        <v>4</v>
      </c>
      <c r="H6" s="7" t="inlineStr">
        <is>
          <t>Raw material</t>
        </is>
      </c>
      <c r="I6" s="7" t="inlineStr">
        <is>
          <t>NEFT</t>
        </is>
      </c>
    </row>
    <row r="7">
      <c r="A7" s="7" t="inlineStr">
        <is>
          <t>V02</t>
        </is>
      </c>
      <c r="B7" s="7" t="inlineStr">
        <is>
          <t>Rani Packaging</t>
        </is>
      </c>
      <c r="C7" s="7" t="inlineStr">
        <is>
          <t>Nashik</t>
        </is>
      </c>
      <c r="D7" s="7" t="inlineStr">
        <is>
          <t>Packaging</t>
        </is>
      </c>
      <c r="E7" s="7" t="n">
        <v>15</v>
      </c>
      <c r="F7" s="7" t="n">
        <v>5</v>
      </c>
      <c r="H7" s="7" t="inlineStr">
        <is>
          <t>Packaging</t>
        </is>
      </c>
      <c r="I7" s="7" t="inlineStr">
        <is>
          <t>UPI</t>
        </is>
      </c>
    </row>
    <row r="8">
      <c r="A8" s="7" t="inlineStr">
        <is>
          <t>V03</t>
        </is>
      </c>
      <c r="B8" s="7" t="inlineStr">
        <is>
          <t>Salman Transport</t>
        </is>
      </c>
      <c r="C8" s="7" t="inlineStr">
        <is>
          <t>Pune</t>
        </is>
      </c>
      <c r="D8" s="7" t="inlineStr">
        <is>
          <t>Transport</t>
        </is>
      </c>
      <c r="E8" s="7" t="n">
        <v>7</v>
      </c>
      <c r="F8" s="7" t="n">
        <v>3</v>
      </c>
      <c r="H8" s="7" t="inlineStr">
        <is>
          <t>Transport</t>
        </is>
      </c>
      <c r="I8" s="7" t="inlineStr">
        <is>
          <t>Cheque</t>
        </is>
      </c>
    </row>
    <row r="9">
      <c r="A9" s="7" t="inlineStr">
        <is>
          <t>V04</t>
        </is>
      </c>
      <c r="B9" s="7" t="inlineStr">
        <is>
          <t>Zoya Electricals</t>
        </is>
      </c>
      <c r="C9" s="7" t="inlineStr">
        <is>
          <t>Kolhapur</t>
        </is>
      </c>
      <c r="D9" s="7" t="inlineStr">
        <is>
          <t>Electrical</t>
        </is>
      </c>
      <c r="E9" s="7" t="n">
        <v>30</v>
      </c>
      <c r="F9" s="7" t="n">
        <v>4</v>
      </c>
      <c r="H9" s="7" t="inlineStr">
        <is>
          <t>Electrical</t>
        </is>
      </c>
    </row>
    <row r="10">
      <c r="A10" s="7" t="inlineStr">
        <is>
          <t>V05</t>
        </is>
      </c>
      <c r="B10" s="7" t="inlineStr">
        <is>
          <t>Amir Tools</t>
        </is>
      </c>
      <c r="C10" s="7" t="inlineStr">
        <is>
          <t>Nagpur</t>
        </is>
      </c>
      <c r="D10" s="7" t="inlineStr">
        <is>
          <t>Tools</t>
        </is>
      </c>
      <c r="E10" s="7" t="n">
        <v>45</v>
      </c>
      <c r="F10" s="7" t="n">
        <v>2</v>
      </c>
      <c r="H10" s="7" t="inlineStr">
        <is>
          <t>Tools</t>
        </is>
      </c>
    </row>
  </sheetData>
  <dataValidations count="2">
    <dataValidation sqref="D6:D30" showDropDown="0" showInputMessage="0" showErrorMessage="1" allowBlank="1" errorTitle="Not in the list" error="Pick a value from the list" type="list">
      <formula1>=$H$6:$H$10</formula1>
    </dataValidation>
    <dataValidation sqref="F6:F30" showDropDown="0" showInputMessage="0" showErrorMessage="1" allowBlank="1" errorTitle="Not in the list" error="Pick a value from the list" type="list">
      <formula1>"1,2,3,4,5"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selection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18" customWidth="1" min="4" max="4"/>
    <col width="18" customWidth="1" min="5" max="5"/>
    <col width="12" customWidth="1" min="6" max="6"/>
    <col width="11" customWidth="1" min="7" max="7"/>
    <col width="11" customWidth="1" min="8" max="8"/>
    <col width="13" customWidth="1" min="9" max="9"/>
    <col width="9" customWidth="1" min="10" max="10"/>
  </cols>
  <sheetData>
    <row r="1">
      <c r="A1" s="1" t="inlineStr">
        <is>
          <t>Purchase orders</t>
        </is>
      </c>
    </row>
    <row r="2">
      <c r="A2" s="2" t="inlineStr">
        <is>
          <t>Leave Received blank until goods arrive. Status and days late are formulas.</t>
        </is>
      </c>
    </row>
    <row r="4">
      <c r="A4" s="5" t="inlineStr">
        <is>
          <t>PO no</t>
        </is>
      </c>
      <c r="B4" s="5" t="inlineStr">
        <is>
          <t>PO date</t>
        </is>
      </c>
      <c r="C4" s="5" t="inlineStr">
        <is>
          <t>Vendor ID</t>
        </is>
      </c>
      <c r="D4" s="5" t="inlineStr">
        <is>
          <t>Vendor</t>
        </is>
      </c>
      <c r="E4" s="5" t="inlineStr">
        <is>
          <t>Item</t>
        </is>
      </c>
      <c r="F4" s="5" t="inlineStr">
        <is>
          <t>Amount (₹)</t>
        </is>
      </c>
      <c r="G4" s="5" t="inlineStr">
        <is>
          <t>Expected by</t>
        </is>
      </c>
      <c r="H4" s="5" t="inlineStr">
        <is>
          <t>Received on</t>
        </is>
      </c>
      <c r="I4" s="5" t="inlineStr">
        <is>
          <t>Status</t>
        </is>
      </c>
      <c r="J4" s="5" t="inlineStr">
        <is>
          <t>Days late</t>
        </is>
      </c>
    </row>
    <row r="5">
      <c r="A5" s="7" t="inlineStr">
        <is>
          <t>PO-101</t>
        </is>
      </c>
      <c r="B5" s="4" t="n">
        <v>46296</v>
      </c>
      <c r="C5" s="7" t="inlineStr">
        <is>
          <t>V01</t>
        </is>
      </c>
      <c r="D5" s="8">
        <f>_xlfn.XLOOKUP(C5,Setup!$A$6:$A$10,Setup!$B$6:$B$10,"Check ID")</f>
        <v/>
      </c>
      <c r="E5" s="7" t="inlineStr">
        <is>
          <t>MS sheets 2 mm</t>
        </is>
      </c>
      <c r="F5" s="9" t="n">
        <v>185000</v>
      </c>
      <c r="G5" s="4" t="n">
        <v>46303</v>
      </c>
      <c r="H5" s="4" t="n">
        <v>46302</v>
      </c>
      <c r="I5" s="8">
        <f>IF(H5="",IF(G5&lt;Setup!$B$3,"Late, pending","Pending"),IF(H5&lt;=G5,"On time","Late"))</f>
        <v/>
      </c>
      <c r="J5" s="8">
        <f>IF(H5="",MAX(0,Setup!$B$3-G5),MAX(0,H5-G5))</f>
        <v/>
      </c>
    </row>
    <row r="6">
      <c r="A6" s="7" t="inlineStr">
        <is>
          <t>PO-102</t>
        </is>
      </c>
      <c r="B6" s="4" t="n">
        <v>46297</v>
      </c>
      <c r="C6" s="7" t="inlineStr">
        <is>
          <t>V02</t>
        </is>
      </c>
      <c r="D6" s="8">
        <f>_xlfn.XLOOKUP(C6,Setup!$A$6:$A$10,Setup!$B$6:$B$10,"Check ID")</f>
        <v/>
      </c>
      <c r="E6" s="7" t="inlineStr">
        <is>
          <t>Cartons 5-ply</t>
        </is>
      </c>
      <c r="F6" s="9" t="n">
        <v>42000</v>
      </c>
      <c r="G6" s="4" t="n">
        <v>46301</v>
      </c>
      <c r="H6" s="4" t="n">
        <v>46301</v>
      </c>
      <c r="I6" s="8">
        <f>IF(H6="",IF(G6&lt;Setup!$B$3,"Late, pending","Pending"),IF(H6&lt;=G6,"On time","Late"))</f>
        <v/>
      </c>
      <c r="J6" s="8">
        <f>IF(H6="",MAX(0,Setup!$B$3-G6),MAX(0,H6-G6))</f>
        <v/>
      </c>
    </row>
    <row r="7">
      <c r="A7" s="7" t="inlineStr">
        <is>
          <t>PO-103</t>
        </is>
      </c>
      <c r="B7" s="4" t="n">
        <v>46298</v>
      </c>
      <c r="C7" s="7" t="inlineStr">
        <is>
          <t>V04</t>
        </is>
      </c>
      <c r="D7" s="8">
        <f>_xlfn.XLOOKUP(C7,Setup!$A$6:$A$10,Setup!$B$6:$B$10,"Check ID")</f>
        <v/>
      </c>
      <c r="E7" s="7" t="inlineStr">
        <is>
          <t>Motor starters</t>
        </is>
      </c>
      <c r="F7" s="9" t="n">
        <v>64000</v>
      </c>
      <c r="G7" s="4" t="n">
        <v>46305</v>
      </c>
      <c r="H7" s="4" t="n">
        <v>46308</v>
      </c>
      <c r="I7" s="8">
        <f>IF(H7="",IF(G7&lt;Setup!$B$3,"Late, pending","Pending"),IF(H7&lt;=G7,"On time","Late"))</f>
        <v/>
      </c>
      <c r="J7" s="8">
        <f>IF(H7="",MAX(0,Setup!$B$3-G7),MAX(0,H7-G7))</f>
        <v/>
      </c>
    </row>
    <row r="8">
      <c r="A8" s="7" t="inlineStr">
        <is>
          <t>PO-104</t>
        </is>
      </c>
      <c r="B8" s="4" t="n">
        <v>46301</v>
      </c>
      <c r="C8" s="7" t="inlineStr">
        <is>
          <t>V01</t>
        </is>
      </c>
      <c r="D8" s="8">
        <f>_xlfn.XLOOKUP(C8,Setup!$A$6:$A$10,Setup!$B$6:$B$10,"Check ID")</f>
        <v/>
      </c>
      <c r="E8" s="7" t="inlineStr">
        <is>
          <t>MS rods</t>
        </is>
      </c>
      <c r="F8" s="9" t="n">
        <v>126000</v>
      </c>
      <c r="G8" s="4" t="n">
        <v>46308</v>
      </c>
      <c r="H8" s="4" t="n">
        <v>46307</v>
      </c>
      <c r="I8" s="8">
        <f>IF(H8="",IF(G8&lt;Setup!$B$3,"Late, pending","Pending"),IF(H8&lt;=G8,"On time","Late"))</f>
        <v/>
      </c>
      <c r="J8" s="8">
        <f>IF(H8="",MAX(0,Setup!$B$3-G8),MAX(0,H8-G8))</f>
        <v/>
      </c>
    </row>
    <row r="9">
      <c r="A9" s="7" t="inlineStr">
        <is>
          <t>PO-105</t>
        </is>
      </c>
      <c r="B9" s="4" t="n">
        <v>46301</v>
      </c>
      <c r="C9" s="7" t="inlineStr">
        <is>
          <t>V05</t>
        </is>
      </c>
      <c r="D9" s="8">
        <f>_xlfn.XLOOKUP(C9,Setup!$A$6:$A$10,Setup!$B$6:$B$10,"Check ID")</f>
        <v/>
      </c>
      <c r="E9" s="7" t="inlineStr">
        <is>
          <t>Drill bits set</t>
        </is>
      </c>
      <c r="F9" s="9" t="n">
        <v>28000</v>
      </c>
      <c r="G9" s="4" t="n">
        <v>46307</v>
      </c>
      <c r="H9" s="4" t="n">
        <v>46311</v>
      </c>
      <c r="I9" s="8">
        <f>IF(H9="",IF(G9&lt;Setup!$B$3,"Late, pending","Pending"),IF(H9&lt;=G9,"On time","Late"))</f>
        <v/>
      </c>
      <c r="J9" s="8">
        <f>IF(H9="",MAX(0,Setup!$B$3-G9),MAX(0,H9-G9))</f>
        <v/>
      </c>
    </row>
    <row r="10">
      <c r="A10" s="7" t="inlineStr">
        <is>
          <t>PO-106</t>
        </is>
      </c>
      <c r="B10" s="4" t="n">
        <v>46302</v>
      </c>
      <c r="C10" s="7" t="inlineStr">
        <is>
          <t>V03</t>
        </is>
      </c>
      <c r="D10" s="8">
        <f>_xlfn.XLOOKUP(C10,Setup!$A$6:$A$10,Setup!$B$6:$B$10,"Check ID")</f>
        <v/>
      </c>
      <c r="E10" s="7" t="inlineStr">
        <is>
          <t>Freight to Solapur</t>
        </is>
      </c>
      <c r="F10" s="9" t="n">
        <v>18000</v>
      </c>
      <c r="G10" s="4" t="n">
        <v>46303</v>
      </c>
      <c r="H10" s="4" t="n">
        <v>46303</v>
      </c>
      <c r="I10" s="8">
        <f>IF(H10="",IF(G10&lt;Setup!$B$3,"Late, pending","Pending"),IF(H10&lt;=G10,"On time","Late"))</f>
        <v/>
      </c>
      <c r="J10" s="8">
        <f>IF(H10="",MAX(0,Setup!$B$3-G10),MAX(0,H10-G10))</f>
        <v/>
      </c>
    </row>
    <row r="11">
      <c r="A11" s="7" t="inlineStr">
        <is>
          <t>PO-107</t>
        </is>
      </c>
      <c r="B11" s="4" t="n">
        <v>46304</v>
      </c>
      <c r="C11" s="7" t="inlineStr">
        <is>
          <t>V02</t>
        </is>
      </c>
      <c r="D11" s="8">
        <f>_xlfn.XLOOKUP(C11,Setup!$A$6:$A$10,Setup!$B$6:$B$10,"Check ID")</f>
        <v/>
      </c>
      <c r="E11" s="7" t="inlineStr">
        <is>
          <t>Stretch film</t>
        </is>
      </c>
      <c r="F11" s="9" t="n">
        <v>15500</v>
      </c>
      <c r="G11" s="4" t="n">
        <v>46307</v>
      </c>
      <c r="H11" s="4" t="n">
        <v>46307</v>
      </c>
      <c r="I11" s="8">
        <f>IF(H11="",IF(G11&lt;Setup!$B$3,"Late, pending","Pending"),IF(H11&lt;=G11,"On time","Late"))</f>
        <v/>
      </c>
      <c r="J11" s="8">
        <f>IF(H11="",MAX(0,Setup!$B$3-G11),MAX(0,H11-G11))</f>
        <v/>
      </c>
    </row>
    <row r="12">
      <c r="A12" s="7" t="inlineStr">
        <is>
          <t>PO-108</t>
        </is>
      </c>
      <c r="B12" s="4" t="n">
        <v>46305</v>
      </c>
      <c r="C12" s="7" t="inlineStr">
        <is>
          <t>V04</t>
        </is>
      </c>
      <c r="D12" s="8">
        <f>_xlfn.XLOOKUP(C12,Setup!$A$6:$A$10,Setup!$B$6:$B$10,"Check ID")</f>
        <v/>
      </c>
      <c r="E12" s="7" t="inlineStr">
        <is>
          <t>Cables 4 sq mm</t>
        </is>
      </c>
      <c r="F12" s="9" t="n">
        <v>52000</v>
      </c>
      <c r="G12" s="4" t="n">
        <v>46311</v>
      </c>
      <c r="H12" s="4" t="n"/>
      <c r="I12" s="8">
        <f>IF(H12="",IF(G12&lt;Setup!$B$3,"Late, pending","Pending"),IF(H12&lt;=G12,"On time","Late"))</f>
        <v/>
      </c>
      <c r="J12" s="8">
        <f>IF(H12="",MAX(0,Setup!$B$3-G12),MAX(0,H12-G12))</f>
        <v/>
      </c>
    </row>
    <row r="13">
      <c r="A13" s="7" t="inlineStr">
        <is>
          <t>PO-109</t>
        </is>
      </c>
      <c r="B13" s="4" t="n">
        <v>46307</v>
      </c>
      <c r="C13" s="7" t="inlineStr">
        <is>
          <t>V01</t>
        </is>
      </c>
      <c r="D13" s="8">
        <f>_xlfn.XLOOKUP(C13,Setup!$A$6:$A$10,Setup!$B$6:$B$10,"Check ID")</f>
        <v/>
      </c>
      <c r="E13" s="7" t="inlineStr">
        <is>
          <t>MS sheets 3 mm</t>
        </is>
      </c>
      <c r="F13" s="9" t="n">
        <v>210000</v>
      </c>
      <c r="G13" s="4" t="n">
        <v>46314</v>
      </c>
      <c r="H13" s="4" t="n"/>
      <c r="I13" s="8">
        <f>IF(H13="",IF(G13&lt;Setup!$B$3,"Late, pending","Pending"),IF(H13&lt;=G13,"On time","Late"))</f>
        <v/>
      </c>
      <c r="J13" s="8">
        <f>IF(H13="",MAX(0,Setup!$B$3-G13),MAX(0,H13-G13))</f>
        <v/>
      </c>
    </row>
    <row r="14">
      <c r="A14" s="7" t="inlineStr">
        <is>
          <t>PO-110</t>
        </is>
      </c>
      <c r="B14" s="4" t="n">
        <v>46308</v>
      </c>
      <c r="C14" s="7" t="inlineStr">
        <is>
          <t>V05</t>
        </is>
      </c>
      <c r="D14" s="8">
        <f>_xlfn.XLOOKUP(C14,Setup!$A$6:$A$10,Setup!$B$6:$B$10,"Check ID")</f>
        <v/>
      </c>
      <c r="E14" s="7" t="inlineStr">
        <is>
          <t>Grinding wheels</t>
        </is>
      </c>
      <c r="F14" s="9" t="n">
        <v>19000</v>
      </c>
      <c r="G14" s="4" t="n">
        <v>46310</v>
      </c>
      <c r="H14" s="4" t="n"/>
      <c r="I14" s="8">
        <f>IF(H14="",IF(G14&lt;Setup!$B$3,"Late, pending","Pending"),IF(H14&lt;=G14,"On time","Late"))</f>
        <v/>
      </c>
      <c r="J14" s="8">
        <f>IF(H14="",MAX(0,Setup!$B$3-G14),MAX(0,H14-G14))</f>
        <v/>
      </c>
    </row>
    <row r="15">
      <c r="A15" s="7" t="inlineStr">
        <is>
          <t>PO-111</t>
        </is>
      </c>
      <c r="B15" s="4" t="n">
        <v>46309</v>
      </c>
      <c r="C15" s="7" t="inlineStr">
        <is>
          <t>V03</t>
        </is>
      </c>
      <c r="D15" s="8">
        <f>_xlfn.XLOOKUP(C15,Setup!$A$6:$A$10,Setup!$B$6:$B$10,"Check ID")</f>
        <v/>
      </c>
      <c r="E15" s="7" t="inlineStr">
        <is>
          <t>Freight to Nagpur</t>
        </is>
      </c>
      <c r="F15" s="9" t="n">
        <v>24000</v>
      </c>
      <c r="G15" s="4" t="n">
        <v>46310</v>
      </c>
      <c r="H15" s="4" t="n">
        <v>46310</v>
      </c>
      <c r="I15" s="8">
        <f>IF(H15="",IF(G15&lt;Setup!$B$3,"Late, pending","Pending"),IF(H15&lt;=G15,"On time","Late"))</f>
        <v/>
      </c>
      <c r="J15" s="8">
        <f>IF(H15="",MAX(0,Setup!$B$3-G15),MAX(0,H15-G15))</f>
        <v/>
      </c>
    </row>
    <row r="16">
      <c r="A16" s="7" t="inlineStr">
        <is>
          <t>PO-112</t>
        </is>
      </c>
      <c r="B16" s="4" t="n">
        <v>46310</v>
      </c>
      <c r="C16" s="7" t="inlineStr">
        <is>
          <t>V02</t>
        </is>
      </c>
      <c r="D16" s="8">
        <f>_xlfn.XLOOKUP(C16,Setup!$A$6:$A$10,Setup!$B$6:$B$10,"Check ID")</f>
        <v/>
      </c>
      <c r="E16" s="7" t="inlineStr">
        <is>
          <t>Labels roll</t>
        </is>
      </c>
      <c r="F16" s="9" t="n">
        <v>9500</v>
      </c>
      <c r="G16" s="4" t="n">
        <v>46315</v>
      </c>
      <c r="H16" s="4" t="n"/>
      <c r="I16" s="8">
        <f>IF(H16="",IF(G16&lt;Setup!$B$3,"Late, pending","Pending"),IF(H16&lt;=G16,"On time","Late"))</f>
        <v/>
      </c>
      <c r="J16" s="8">
        <f>IF(H16="",MAX(0,Setup!$B$3-G16),MAX(0,H16-G16))</f>
        <v/>
      </c>
    </row>
  </sheetData>
  <conditionalFormatting sqref="I5:I60">
    <cfRule type="cellIs" priority="1" operator="equal" dxfId="0">
      <formula>"On time"</formula>
    </cfRule>
    <cfRule type="cellIs" priority="2" operator="equal" dxfId="1">
      <formula>"Late"</formula>
    </cfRule>
    <cfRule type="cellIs" priority="3" operator="equal" dxfId="1">
      <formula>"Late, pending"</formula>
    </cfRule>
  </conditionalFormatting>
  <dataValidations count="1">
    <dataValidation sqref="C5:C60" showDropDown="0" showInputMessage="0" showErrorMessage="1" allowBlank="1" errorTitle="Not in the list" error="Pick a value from the list" type="list">
      <formula1>=Setup!$A$6:$A$10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18" customWidth="1" min="4" max="4"/>
    <col width="8" customWidth="1" min="5" max="5"/>
    <col width="13" customWidth="1" min="6" max="6"/>
    <col width="11" customWidth="1" min="7" max="7"/>
    <col width="11" customWidth="1" min="8" max="8"/>
    <col width="11" customWidth="1" min="9" max="9"/>
    <col width="9" customWidth="1" min="10" max="10"/>
    <col width="9" customWidth="1" min="11" max="11"/>
  </cols>
  <sheetData>
    <row r="1">
      <c r="A1" s="1" t="inlineStr">
        <is>
          <t>Vendor bills</t>
        </is>
      </c>
    </row>
    <row r="2">
      <c r="A2" s="2" t="inlineStr">
        <is>
          <t>PO no is blank for bills older than the PO log. Due date = bill date + the vendor's payment terms. Paid comes from the Payments sheet. Ageing groups the unpaid balance by days overdue.</t>
        </is>
      </c>
    </row>
    <row r="4">
      <c r="A4" s="5" t="inlineStr">
        <is>
          <t>Bill no</t>
        </is>
      </c>
      <c r="B4" s="5" t="inlineStr">
        <is>
          <t>Bill date</t>
        </is>
      </c>
      <c r="C4" s="5" t="inlineStr">
        <is>
          <t>Vendor ID</t>
        </is>
      </c>
      <c r="D4" s="5" t="inlineStr">
        <is>
          <t>Vendor</t>
        </is>
      </c>
      <c r="E4" s="5" t="inlineStr">
        <is>
          <t>PO no</t>
        </is>
      </c>
      <c r="F4" s="5" t="inlineStr">
        <is>
          <t>Bill amount (₹)</t>
        </is>
      </c>
      <c r="G4" s="5" t="inlineStr">
        <is>
          <t>Due date</t>
        </is>
      </c>
      <c r="H4" s="5" t="inlineStr">
        <is>
          <t>Paid (₹)</t>
        </is>
      </c>
      <c r="I4" s="5" t="inlineStr">
        <is>
          <t>Balance (₹)</t>
        </is>
      </c>
      <c r="J4" s="5" t="inlineStr">
        <is>
          <t>Days overdue</t>
        </is>
      </c>
      <c r="K4" s="5" t="inlineStr">
        <is>
          <t>Ageing</t>
        </is>
      </c>
    </row>
    <row r="5">
      <c r="A5" s="7" t="inlineStr">
        <is>
          <t>B-201</t>
        </is>
      </c>
      <c r="B5" s="4" t="n">
        <v>46235</v>
      </c>
      <c r="C5" s="7" t="inlineStr">
        <is>
          <t>V05</t>
        </is>
      </c>
      <c r="D5" s="8">
        <f>_xlfn.XLOOKUP(C5,Setup!$A$6:$A$10,Setup!$B$6:$B$10,"Check ID")</f>
        <v/>
      </c>
      <c r="E5" s="7" t="n"/>
      <c r="F5" s="9" t="n">
        <v>32000</v>
      </c>
      <c r="G5" s="10">
        <f>B5+_xlfn.XLOOKUP(C5,Setup!$A$6:$A$10,Setup!$E$6:$E$10)</f>
        <v/>
      </c>
      <c r="H5" s="11">
        <f>SUMIFS(Payments!$D$5:$D$80,Payments!$B$5:$B$80,A5)</f>
        <v/>
      </c>
      <c r="I5" s="11">
        <f>F5-H5</f>
        <v/>
      </c>
      <c r="J5" s="8">
        <f>IF(I5&gt;0,MAX(0,Setup!$B$3-G5),0)</f>
        <v/>
      </c>
      <c r="K5" s="8">
        <f>IF(I5=0,"Paid",IF(J5=0,"Not due",IF(J5&lt;=30,"1-30",IF(J5&lt;=60,"31-60","60+"))))</f>
        <v/>
      </c>
    </row>
    <row r="6">
      <c r="A6" s="7" t="inlineStr">
        <is>
          <t>B-202</t>
        </is>
      </c>
      <c r="B6" s="4" t="n">
        <v>46254</v>
      </c>
      <c r="C6" s="7" t="inlineStr">
        <is>
          <t>V01</t>
        </is>
      </c>
      <c r="D6" s="8">
        <f>_xlfn.XLOOKUP(C6,Setup!$A$6:$A$10,Setup!$B$6:$B$10,"Check ID")</f>
        <v/>
      </c>
      <c r="E6" s="7" t="n"/>
      <c r="F6" s="9" t="n">
        <v>95000</v>
      </c>
      <c r="G6" s="10">
        <f>B6+_xlfn.XLOOKUP(C6,Setup!$A$6:$A$10,Setup!$E$6:$E$10)</f>
        <v/>
      </c>
      <c r="H6" s="11">
        <f>SUMIFS(Payments!$D$5:$D$80,Payments!$B$5:$B$80,A6)</f>
        <v/>
      </c>
      <c r="I6" s="11">
        <f>F6-H6</f>
        <v/>
      </c>
      <c r="J6" s="8">
        <f>IF(I6&gt;0,MAX(0,Setup!$B$3-G6),0)</f>
        <v/>
      </c>
      <c r="K6" s="8">
        <f>IF(I6=0,"Paid",IF(J6=0,"Not due",IF(J6&lt;=30,"1-30",IF(J6&lt;=60,"31-60","60+"))))</f>
        <v/>
      </c>
    </row>
    <row r="7">
      <c r="A7" s="7" t="inlineStr">
        <is>
          <t>B-203</t>
        </is>
      </c>
      <c r="B7" s="4" t="n">
        <v>46302</v>
      </c>
      <c r="C7" s="7" t="inlineStr">
        <is>
          <t>V01</t>
        </is>
      </c>
      <c r="D7" s="8">
        <f>_xlfn.XLOOKUP(C7,Setup!$A$6:$A$10,Setup!$B$6:$B$10,"Check ID")</f>
        <v/>
      </c>
      <c r="E7" s="7" t="inlineStr">
        <is>
          <t>PO-101</t>
        </is>
      </c>
      <c r="F7" s="9" t="n">
        <v>185000</v>
      </c>
      <c r="G7" s="10">
        <f>B7+_xlfn.XLOOKUP(C7,Setup!$A$6:$A$10,Setup!$E$6:$E$10)</f>
        <v/>
      </c>
      <c r="H7" s="11">
        <f>SUMIFS(Payments!$D$5:$D$80,Payments!$B$5:$B$80,A7)</f>
        <v/>
      </c>
      <c r="I7" s="11">
        <f>F7-H7</f>
        <v/>
      </c>
      <c r="J7" s="8">
        <f>IF(I7&gt;0,MAX(0,Setup!$B$3-G7),0)</f>
        <v/>
      </c>
      <c r="K7" s="8">
        <f>IF(I7=0,"Paid",IF(J7=0,"Not due",IF(J7&lt;=30,"1-30",IF(J7&lt;=60,"31-60","60+"))))</f>
        <v/>
      </c>
    </row>
    <row r="8">
      <c r="A8" s="7" t="inlineStr">
        <is>
          <t>B-204</t>
        </is>
      </c>
      <c r="B8" s="4" t="n">
        <v>46301</v>
      </c>
      <c r="C8" s="7" t="inlineStr">
        <is>
          <t>V02</t>
        </is>
      </c>
      <c r="D8" s="8">
        <f>_xlfn.XLOOKUP(C8,Setup!$A$6:$A$10,Setup!$B$6:$B$10,"Check ID")</f>
        <v/>
      </c>
      <c r="E8" s="7" t="inlineStr">
        <is>
          <t>PO-102</t>
        </is>
      </c>
      <c r="F8" s="9" t="n">
        <v>42000</v>
      </c>
      <c r="G8" s="10">
        <f>B8+_xlfn.XLOOKUP(C8,Setup!$A$6:$A$10,Setup!$E$6:$E$10)</f>
        <v/>
      </c>
      <c r="H8" s="11">
        <f>SUMIFS(Payments!$D$5:$D$80,Payments!$B$5:$B$80,A8)</f>
        <v/>
      </c>
      <c r="I8" s="11">
        <f>F8-H8</f>
        <v/>
      </c>
      <c r="J8" s="8">
        <f>IF(I8&gt;0,MAX(0,Setup!$B$3-G8),0)</f>
        <v/>
      </c>
      <c r="K8" s="8">
        <f>IF(I8=0,"Paid",IF(J8=0,"Not due",IF(J8&lt;=30,"1-30",IF(J8&lt;=60,"31-60","60+"))))</f>
        <v/>
      </c>
    </row>
    <row r="9">
      <c r="A9" s="7" t="inlineStr">
        <is>
          <t>B-205</t>
        </is>
      </c>
      <c r="B9" s="4" t="n">
        <v>46308</v>
      </c>
      <c r="C9" s="7" t="inlineStr">
        <is>
          <t>V04</t>
        </is>
      </c>
      <c r="D9" s="8">
        <f>_xlfn.XLOOKUP(C9,Setup!$A$6:$A$10,Setup!$B$6:$B$10,"Check ID")</f>
        <v/>
      </c>
      <c r="E9" s="7" t="inlineStr">
        <is>
          <t>PO-103</t>
        </is>
      </c>
      <c r="F9" s="9" t="n">
        <v>64000</v>
      </c>
      <c r="G9" s="10">
        <f>B9+_xlfn.XLOOKUP(C9,Setup!$A$6:$A$10,Setup!$E$6:$E$10)</f>
        <v/>
      </c>
      <c r="H9" s="11">
        <f>SUMIFS(Payments!$D$5:$D$80,Payments!$B$5:$B$80,A9)</f>
        <v/>
      </c>
      <c r="I9" s="11">
        <f>F9-H9</f>
        <v/>
      </c>
      <c r="J9" s="8">
        <f>IF(I9&gt;0,MAX(0,Setup!$B$3-G9),0)</f>
        <v/>
      </c>
      <c r="K9" s="8">
        <f>IF(I9=0,"Paid",IF(J9=0,"Not due",IF(J9&lt;=30,"1-30",IF(J9&lt;=60,"31-60","60+"))))</f>
        <v/>
      </c>
    </row>
    <row r="10">
      <c r="A10" s="7" t="inlineStr">
        <is>
          <t>B-206</t>
        </is>
      </c>
      <c r="B10" s="4" t="n">
        <v>46307</v>
      </c>
      <c r="C10" s="7" t="inlineStr">
        <is>
          <t>V01</t>
        </is>
      </c>
      <c r="D10" s="8">
        <f>_xlfn.XLOOKUP(C10,Setup!$A$6:$A$10,Setup!$B$6:$B$10,"Check ID")</f>
        <v/>
      </c>
      <c r="E10" s="7" t="inlineStr">
        <is>
          <t>PO-104</t>
        </is>
      </c>
      <c r="F10" s="9" t="n">
        <v>126000</v>
      </c>
      <c r="G10" s="10">
        <f>B10+_xlfn.XLOOKUP(C10,Setup!$A$6:$A$10,Setup!$E$6:$E$10)</f>
        <v/>
      </c>
      <c r="H10" s="11">
        <f>SUMIFS(Payments!$D$5:$D$80,Payments!$B$5:$B$80,A10)</f>
        <v/>
      </c>
      <c r="I10" s="11">
        <f>F10-H10</f>
        <v/>
      </c>
      <c r="J10" s="8">
        <f>IF(I10&gt;0,MAX(0,Setup!$B$3-G10),0)</f>
        <v/>
      </c>
      <c r="K10" s="8">
        <f>IF(I10=0,"Paid",IF(J10=0,"Not due",IF(J10&lt;=30,"1-30",IF(J10&lt;=60,"31-60","60+"))))</f>
        <v/>
      </c>
    </row>
    <row r="11">
      <c r="A11" s="7" t="inlineStr">
        <is>
          <t>B-207</t>
        </is>
      </c>
      <c r="B11" s="4" t="n">
        <v>46311</v>
      </c>
      <c r="C11" s="7" t="inlineStr">
        <is>
          <t>V05</t>
        </is>
      </c>
      <c r="D11" s="8">
        <f>_xlfn.XLOOKUP(C11,Setup!$A$6:$A$10,Setup!$B$6:$B$10,"Check ID")</f>
        <v/>
      </c>
      <c r="E11" s="7" t="inlineStr">
        <is>
          <t>PO-105</t>
        </is>
      </c>
      <c r="F11" s="9" t="n">
        <v>28000</v>
      </c>
      <c r="G11" s="10">
        <f>B11+_xlfn.XLOOKUP(C11,Setup!$A$6:$A$10,Setup!$E$6:$E$10)</f>
        <v/>
      </c>
      <c r="H11" s="11">
        <f>SUMIFS(Payments!$D$5:$D$80,Payments!$B$5:$B$80,A11)</f>
        <v/>
      </c>
      <c r="I11" s="11">
        <f>F11-H11</f>
        <v/>
      </c>
      <c r="J11" s="8">
        <f>IF(I11&gt;0,MAX(0,Setup!$B$3-G11),0)</f>
        <v/>
      </c>
      <c r="K11" s="8">
        <f>IF(I11=0,"Paid",IF(J11=0,"Not due",IF(J11&lt;=30,"1-30",IF(J11&lt;=60,"31-60","60+"))))</f>
        <v/>
      </c>
    </row>
    <row r="12">
      <c r="A12" s="7" t="inlineStr">
        <is>
          <t>B-208</t>
        </is>
      </c>
      <c r="B12" s="4" t="n">
        <v>46303</v>
      </c>
      <c r="C12" s="7" t="inlineStr">
        <is>
          <t>V03</t>
        </is>
      </c>
      <c r="D12" s="8">
        <f>_xlfn.XLOOKUP(C12,Setup!$A$6:$A$10,Setup!$B$6:$B$10,"Check ID")</f>
        <v/>
      </c>
      <c r="E12" s="7" t="inlineStr">
        <is>
          <t>PO-106</t>
        </is>
      </c>
      <c r="F12" s="9" t="n">
        <v>18000</v>
      </c>
      <c r="G12" s="10">
        <f>B12+_xlfn.XLOOKUP(C12,Setup!$A$6:$A$10,Setup!$E$6:$E$10)</f>
        <v/>
      </c>
      <c r="H12" s="11">
        <f>SUMIFS(Payments!$D$5:$D$80,Payments!$B$5:$B$80,A12)</f>
        <v/>
      </c>
      <c r="I12" s="11">
        <f>F12-H12</f>
        <v/>
      </c>
      <c r="J12" s="8">
        <f>IF(I12&gt;0,MAX(0,Setup!$B$3-G12),0)</f>
        <v/>
      </c>
      <c r="K12" s="8">
        <f>IF(I12=0,"Paid",IF(J12=0,"Not due",IF(J12&lt;=30,"1-30",IF(J12&lt;=60,"31-60","60+"))))</f>
        <v/>
      </c>
    </row>
    <row r="13">
      <c r="A13" s="7" t="inlineStr">
        <is>
          <t>B-209</t>
        </is>
      </c>
      <c r="B13" s="4" t="n">
        <v>46307</v>
      </c>
      <c r="C13" s="7" t="inlineStr">
        <is>
          <t>V02</t>
        </is>
      </c>
      <c r="D13" s="8">
        <f>_xlfn.XLOOKUP(C13,Setup!$A$6:$A$10,Setup!$B$6:$B$10,"Check ID")</f>
        <v/>
      </c>
      <c r="E13" s="7" t="inlineStr">
        <is>
          <t>PO-107</t>
        </is>
      </c>
      <c r="F13" s="9" t="n">
        <v>15500</v>
      </c>
      <c r="G13" s="10">
        <f>B13+_xlfn.XLOOKUP(C13,Setup!$A$6:$A$10,Setup!$E$6:$E$10)</f>
        <v/>
      </c>
      <c r="H13" s="11">
        <f>SUMIFS(Payments!$D$5:$D$80,Payments!$B$5:$B$80,A13)</f>
        <v/>
      </c>
      <c r="I13" s="11">
        <f>F13-H13</f>
        <v/>
      </c>
      <c r="J13" s="8">
        <f>IF(I13&gt;0,MAX(0,Setup!$B$3-G13),0)</f>
        <v/>
      </c>
      <c r="K13" s="8">
        <f>IF(I13=0,"Paid",IF(J13=0,"Not due",IF(J13&lt;=30,"1-30",IF(J13&lt;=60,"31-60","60+"))))</f>
        <v/>
      </c>
    </row>
    <row r="14">
      <c r="A14" s="7" t="inlineStr">
        <is>
          <t>B-210</t>
        </is>
      </c>
      <c r="B14" s="4" t="n">
        <v>46310</v>
      </c>
      <c r="C14" s="7" t="inlineStr">
        <is>
          <t>V03</t>
        </is>
      </c>
      <c r="D14" s="8">
        <f>_xlfn.XLOOKUP(C14,Setup!$A$6:$A$10,Setup!$B$6:$B$10,"Check ID")</f>
        <v/>
      </c>
      <c r="E14" s="7" t="inlineStr">
        <is>
          <t>PO-111</t>
        </is>
      </c>
      <c r="F14" s="9" t="n">
        <v>24000</v>
      </c>
      <c r="G14" s="10">
        <f>B14+_xlfn.XLOOKUP(C14,Setup!$A$6:$A$10,Setup!$E$6:$E$10)</f>
        <v/>
      </c>
      <c r="H14" s="11">
        <f>SUMIFS(Payments!$D$5:$D$80,Payments!$B$5:$B$80,A14)</f>
        <v/>
      </c>
      <c r="I14" s="11">
        <f>F14-H14</f>
        <v/>
      </c>
      <c r="J14" s="8">
        <f>IF(I14&gt;0,MAX(0,Setup!$B$3-G14),0)</f>
        <v/>
      </c>
      <c r="K14" s="8">
        <f>IF(I14=0,"Paid",IF(J14=0,"Not due",IF(J14&lt;=30,"1-30",IF(J14&lt;=60,"31-60","60+"))))</f>
        <v/>
      </c>
    </row>
  </sheetData>
  <conditionalFormatting sqref="K5:K60">
    <cfRule type="cellIs" priority="1" operator="equal" dxfId="0">
      <formula>"Paid"</formula>
    </cfRule>
    <cfRule type="cellIs" priority="2" operator="equal" dxfId="2">
      <formula>"1-30"</formula>
    </cfRule>
    <cfRule type="cellIs" priority="3" operator="equal" dxfId="1">
      <formula>"31-60"</formula>
    </cfRule>
    <cfRule type="cellIs" priority="4" operator="equal" dxfId="1">
      <formula>"60+"</formula>
    </cfRule>
  </conditionalFormatting>
  <dataValidations count="2">
    <dataValidation sqref="C5:C60" showDropDown="0" showInputMessage="0" showErrorMessage="1" allowBlank="1" errorTitle="Not in the list" error="Pick a value from the list" type="list">
      <formula1>=Setup!$A$6:$A$10</formula1>
    </dataValidation>
    <dataValidation sqref="E5:E60" showDropDown="0" showInputMessage="0" showErrorMessage="1" allowBlank="1" errorTitle="Not in the list" error="Pick a value from the list" type="list">
      <formula1>='Purchase orders'!$A$5:$A$60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1" customWidth="1" min="1" max="1"/>
    <col width="8" customWidth="1" min="2" max="2"/>
    <col width="18" customWidth="1" min="3" max="3"/>
    <col width="12" customWidth="1" min="4" max="4"/>
    <col width="9" customWidth="1" min="5" max="5"/>
  </cols>
  <sheetData>
    <row r="1">
      <c r="A1" s="1" t="inlineStr">
        <is>
          <t>Payments made</t>
        </is>
      </c>
    </row>
    <row r="2">
      <c r="A2" s="2" t="inlineStr">
        <is>
          <t>One row per payment. A bill can be paid in parts.</t>
        </is>
      </c>
    </row>
    <row r="4">
      <c r="A4" s="5" t="inlineStr">
        <is>
          <t>Date</t>
        </is>
      </c>
      <c r="B4" s="5" t="inlineStr">
        <is>
          <t>Bill no</t>
        </is>
      </c>
      <c r="C4" s="5" t="inlineStr">
        <is>
          <t>Vendor</t>
        </is>
      </c>
      <c r="D4" s="5" t="inlineStr">
        <is>
          <t>Amount (₹)</t>
        </is>
      </c>
      <c r="E4" s="5" t="inlineStr">
        <is>
          <t>Mode</t>
        </is>
      </c>
    </row>
    <row r="5">
      <c r="A5" s="4" t="n">
        <v>46283</v>
      </c>
      <c r="B5" s="7" t="inlineStr">
        <is>
          <t>B-202</t>
        </is>
      </c>
      <c r="C5" s="8">
        <f>_xlfn.XLOOKUP(_xlfn.XLOOKUP(B5,Bills!$A$5:$A$60,Bills!$C$5:$C$60),Setup!$A$6:$A$10,Setup!$B$6:$B$10,"Check bill")</f>
        <v/>
      </c>
      <c r="D5" s="9" t="n">
        <v>40000</v>
      </c>
      <c r="E5" s="7" t="inlineStr">
        <is>
          <t>NEFT</t>
        </is>
      </c>
    </row>
    <row r="6">
      <c r="A6" s="4" t="n">
        <v>46305</v>
      </c>
      <c r="B6" s="7" t="inlineStr">
        <is>
          <t>B-208</t>
        </is>
      </c>
      <c r="C6" s="8">
        <f>_xlfn.XLOOKUP(_xlfn.XLOOKUP(B6,Bills!$A$5:$A$60,Bills!$C$5:$C$60),Setup!$A$6:$A$10,Setup!$B$6:$B$10,"Check bill")</f>
        <v/>
      </c>
      <c r="D6" s="9" t="n">
        <v>10000</v>
      </c>
      <c r="E6" s="7" t="inlineStr">
        <is>
          <t>UPI</t>
        </is>
      </c>
    </row>
    <row r="7">
      <c r="A7" s="4" t="n">
        <v>46309</v>
      </c>
      <c r="B7" s="7" t="inlineStr">
        <is>
          <t>B-203</t>
        </is>
      </c>
      <c r="C7" s="8">
        <f>_xlfn.XLOOKUP(_xlfn.XLOOKUP(B7,Bills!$A$5:$A$60,Bills!$C$5:$C$60),Setup!$A$6:$A$10,Setup!$B$6:$B$10,"Check bill")</f>
        <v/>
      </c>
      <c r="D7" s="9" t="n">
        <v>100000</v>
      </c>
      <c r="E7" s="7" t="inlineStr">
        <is>
          <t>NEFT</t>
        </is>
      </c>
    </row>
    <row r="8">
      <c r="A8" s="4" t="n">
        <v>46310</v>
      </c>
      <c r="B8" s="7" t="inlineStr">
        <is>
          <t>B-209</t>
        </is>
      </c>
      <c r="C8" s="8">
        <f>_xlfn.XLOOKUP(_xlfn.XLOOKUP(B8,Bills!$A$5:$A$60,Bills!$C$5:$C$60),Setup!$A$6:$A$10,Setup!$B$6:$B$10,"Check bill")</f>
        <v/>
      </c>
      <c r="D8" s="9" t="n">
        <v>15500</v>
      </c>
      <c r="E8" s="7" t="inlineStr">
        <is>
          <t>UPI</t>
        </is>
      </c>
    </row>
    <row r="9">
      <c r="A9" s="4" t="n">
        <v>46311</v>
      </c>
      <c r="B9" s="7" t="inlineStr">
        <is>
          <t>B-204</t>
        </is>
      </c>
      <c r="C9" s="8">
        <f>_xlfn.XLOOKUP(_xlfn.XLOOKUP(B9,Bills!$A$5:$A$60,Bills!$C$5:$C$60),Setup!$A$6:$A$10,Setup!$B$6:$B$10,"Check bill")</f>
        <v/>
      </c>
      <c r="D9" s="9" t="n">
        <v>42000</v>
      </c>
      <c r="E9" s="7" t="inlineStr">
        <is>
          <t>NEFT</t>
        </is>
      </c>
    </row>
    <row r="10">
      <c r="A10" s="4" t="n">
        <v>46311</v>
      </c>
      <c r="B10" s="7" t="inlineStr">
        <is>
          <t>B-205</t>
        </is>
      </c>
      <c r="C10" s="8">
        <f>_xlfn.XLOOKUP(_xlfn.XLOOKUP(B10,Bills!$A$5:$A$60,Bills!$C$5:$C$60),Setup!$A$6:$A$10,Setup!$B$6:$B$10,"Check bill")</f>
        <v/>
      </c>
      <c r="D10" s="9" t="n">
        <v>30000</v>
      </c>
      <c r="E10" s="7" t="inlineStr">
        <is>
          <t>Cheque</t>
        </is>
      </c>
    </row>
    <row r="11">
      <c r="A11" s="4" t="n">
        <v>46311</v>
      </c>
      <c r="B11" s="7" t="inlineStr">
        <is>
          <t>B-207</t>
        </is>
      </c>
      <c r="C11" s="8">
        <f>_xlfn.XLOOKUP(_xlfn.XLOOKUP(B11,Bills!$A$5:$A$60,Bills!$C$5:$C$60),Setup!$A$6:$A$10,Setup!$B$6:$B$10,"Check bill")</f>
        <v/>
      </c>
      <c r="D11" s="9" t="n">
        <v>8000</v>
      </c>
      <c r="E11" s="7" t="inlineStr">
        <is>
          <t>UPI</t>
        </is>
      </c>
    </row>
    <row r="12">
      <c r="A12" s="4" t="n">
        <v>46311</v>
      </c>
      <c r="B12" s="7" t="inlineStr">
        <is>
          <t>B-210</t>
        </is>
      </c>
      <c r="C12" s="8">
        <f>_xlfn.XLOOKUP(_xlfn.XLOOKUP(B12,Bills!$A$5:$A$60,Bills!$C$5:$C$60),Setup!$A$6:$A$10,Setup!$B$6:$B$10,"Check bill")</f>
        <v/>
      </c>
      <c r="D12" s="9" t="n">
        <v>24000</v>
      </c>
      <c r="E12" s="7" t="inlineStr">
        <is>
          <t>NEFT</t>
        </is>
      </c>
    </row>
  </sheetData>
  <dataValidations count="2">
    <dataValidation sqref="B5:B80" showDropDown="0" showInputMessage="0" showErrorMessage="1" allowBlank="1" errorTitle="Not in the list" error="Pick a value from the list" type="list">
      <formula1>=Bills!$A$5:$A$60</formula1>
    </dataValidation>
    <dataValidation sqref="E5:E80" showDropDown="0" showInputMessage="0" showErrorMessage="1" allowBlank="1" errorTitle="Not in the list" error="Pick a value from the list" type="list">
      <formula1>=Setup!$I$6:$I$8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8" customWidth="1" min="11" max="11"/>
    <col width="7" customWidth="1" min="12" max="12"/>
  </cols>
  <sheetData>
    <row r="1">
      <c r="A1" s="1" t="inlineStr">
        <is>
          <t>Vendor scorecard</t>
        </is>
      </c>
    </row>
    <row r="2">
      <c r="A2" s="2" t="inlineStr">
        <is>
          <t>Purchases, payments and delivery record per vendor. Score = 50 × on-time share + 10 × quality rating (out of 100).</t>
        </is>
      </c>
    </row>
    <row r="4">
      <c r="A4" s="5" t="inlineStr">
        <is>
          <t>Vendor ID</t>
        </is>
      </c>
      <c r="B4" s="5" t="inlineStr">
        <is>
          <t>Vendor</t>
        </is>
      </c>
      <c r="C4" s="5" t="inlineStr">
        <is>
          <t>Billed (₹)</t>
        </is>
      </c>
      <c r="D4" s="5" t="inlineStr">
        <is>
          <t>Paid (₹)</t>
        </is>
      </c>
      <c r="E4" s="5" t="inlineStr">
        <is>
          <t>Outstanding (₹)</t>
        </is>
      </c>
      <c r="F4" s="5" t="inlineStr">
        <is>
          <t>Overdue (₹)</t>
        </is>
      </c>
      <c r="G4" s="5" t="inlineStr">
        <is>
          <t>POs</t>
        </is>
      </c>
      <c r="H4" s="5" t="inlineStr">
        <is>
          <t>On-time deliveries</t>
        </is>
      </c>
      <c r="I4" s="5" t="inlineStr">
        <is>
          <t>On-time %</t>
        </is>
      </c>
      <c r="J4" s="5" t="inlineStr">
        <is>
          <t>Quality (1-5)</t>
        </is>
      </c>
      <c r="K4" s="5" t="inlineStr">
        <is>
          <t>Score</t>
        </is>
      </c>
      <c r="L4" s="5" t="inlineStr">
        <is>
          <t>Grade</t>
        </is>
      </c>
    </row>
    <row r="5">
      <c r="A5" s="8">
        <f>Setup!A6</f>
        <v/>
      </c>
      <c r="B5" s="8">
        <f>_xlfn.XLOOKUP(A5,Setup!$A$6:$A$10,Setup!$B$6:$B$10)</f>
        <v/>
      </c>
      <c r="C5" s="11">
        <f>SUMIFS(Bills!$F$5:$F$60,Bills!$C$5:$C$60,A5)</f>
        <v/>
      </c>
      <c r="D5" s="11">
        <f>SUMIFS(Bills!$H$5:$H$60,Bills!$C$5:$C$60,A5)</f>
        <v/>
      </c>
      <c r="E5" s="11">
        <f>C5-D5</f>
        <v/>
      </c>
      <c r="F5" s="11">
        <f>SUMIFS(Bills!$I$5:$I$60,Bills!$C$5:$C$60,A5,Bills!$J$5:$J$60,"&gt;0")</f>
        <v/>
      </c>
      <c r="G5" s="8">
        <f>COUNTIF('Purchase orders'!$C$5:$C$60,A5)</f>
        <v/>
      </c>
      <c r="H5" s="8">
        <f>COUNTIFS('Purchase orders'!$C$5:$C$60,A5,'Purchase orders'!$I$5:$I$60,"On time")</f>
        <v/>
      </c>
      <c r="I5" s="12">
        <f>IFERROR(H5/(H5+COUNTIFS('Purchase orders'!$C$5:$C$60,A5,'Purchase orders'!$I$5:$I$60,"Late")),0)</f>
        <v/>
      </c>
      <c r="J5" s="8">
        <f>_xlfn.XLOOKUP(A5,Setup!$A$6:$A$10,Setup!$F$6:$F$10)</f>
        <v/>
      </c>
      <c r="K5" s="8">
        <f>ROUND(50*I5+10*J5,0)</f>
        <v/>
      </c>
      <c r="L5" s="8">
        <f>IF(K5&gt;=80,"A",IF(K5&gt;=60,"B","C"))</f>
        <v/>
      </c>
    </row>
    <row r="6">
      <c r="A6" s="8">
        <f>Setup!A7</f>
        <v/>
      </c>
      <c r="B6" s="8">
        <f>_xlfn.XLOOKUP(A6,Setup!$A$6:$A$10,Setup!$B$6:$B$10)</f>
        <v/>
      </c>
      <c r="C6" s="11">
        <f>SUMIFS(Bills!$F$5:$F$60,Bills!$C$5:$C$60,A6)</f>
        <v/>
      </c>
      <c r="D6" s="11">
        <f>SUMIFS(Bills!$H$5:$H$60,Bills!$C$5:$C$60,A6)</f>
        <v/>
      </c>
      <c r="E6" s="11">
        <f>C6-D6</f>
        <v/>
      </c>
      <c r="F6" s="11">
        <f>SUMIFS(Bills!$I$5:$I$60,Bills!$C$5:$C$60,A6,Bills!$J$5:$J$60,"&gt;0")</f>
        <v/>
      </c>
      <c r="G6" s="8">
        <f>COUNTIF('Purchase orders'!$C$5:$C$60,A6)</f>
        <v/>
      </c>
      <c r="H6" s="8">
        <f>COUNTIFS('Purchase orders'!$C$5:$C$60,A6,'Purchase orders'!$I$5:$I$60,"On time")</f>
        <v/>
      </c>
      <c r="I6" s="12">
        <f>IFERROR(H6/(H6+COUNTIFS('Purchase orders'!$C$5:$C$60,A6,'Purchase orders'!$I$5:$I$60,"Late")),0)</f>
        <v/>
      </c>
      <c r="J6" s="8">
        <f>_xlfn.XLOOKUP(A6,Setup!$A$6:$A$10,Setup!$F$6:$F$10)</f>
        <v/>
      </c>
      <c r="K6" s="8">
        <f>ROUND(50*I6+10*J6,0)</f>
        <v/>
      </c>
      <c r="L6" s="8">
        <f>IF(K6&gt;=80,"A",IF(K6&gt;=60,"B","C"))</f>
        <v/>
      </c>
    </row>
    <row r="7">
      <c r="A7" s="8">
        <f>Setup!A8</f>
        <v/>
      </c>
      <c r="B7" s="8">
        <f>_xlfn.XLOOKUP(A7,Setup!$A$6:$A$10,Setup!$B$6:$B$10)</f>
        <v/>
      </c>
      <c r="C7" s="11">
        <f>SUMIFS(Bills!$F$5:$F$60,Bills!$C$5:$C$60,A7)</f>
        <v/>
      </c>
      <c r="D7" s="11">
        <f>SUMIFS(Bills!$H$5:$H$60,Bills!$C$5:$C$60,A7)</f>
        <v/>
      </c>
      <c r="E7" s="11">
        <f>C7-D7</f>
        <v/>
      </c>
      <c r="F7" s="11">
        <f>SUMIFS(Bills!$I$5:$I$60,Bills!$C$5:$C$60,A7,Bills!$J$5:$J$60,"&gt;0")</f>
        <v/>
      </c>
      <c r="G7" s="8">
        <f>COUNTIF('Purchase orders'!$C$5:$C$60,A7)</f>
        <v/>
      </c>
      <c r="H7" s="8">
        <f>COUNTIFS('Purchase orders'!$C$5:$C$60,A7,'Purchase orders'!$I$5:$I$60,"On time")</f>
        <v/>
      </c>
      <c r="I7" s="12">
        <f>IFERROR(H7/(H7+COUNTIFS('Purchase orders'!$C$5:$C$60,A7,'Purchase orders'!$I$5:$I$60,"Late")),0)</f>
        <v/>
      </c>
      <c r="J7" s="8">
        <f>_xlfn.XLOOKUP(A7,Setup!$A$6:$A$10,Setup!$F$6:$F$10)</f>
        <v/>
      </c>
      <c r="K7" s="8">
        <f>ROUND(50*I7+10*J7,0)</f>
        <v/>
      </c>
      <c r="L7" s="8">
        <f>IF(K7&gt;=80,"A",IF(K7&gt;=60,"B","C"))</f>
        <v/>
      </c>
    </row>
    <row r="8">
      <c r="A8" s="8">
        <f>Setup!A9</f>
        <v/>
      </c>
      <c r="B8" s="8">
        <f>_xlfn.XLOOKUP(A8,Setup!$A$6:$A$10,Setup!$B$6:$B$10)</f>
        <v/>
      </c>
      <c r="C8" s="11">
        <f>SUMIFS(Bills!$F$5:$F$60,Bills!$C$5:$C$60,A8)</f>
        <v/>
      </c>
      <c r="D8" s="11">
        <f>SUMIFS(Bills!$H$5:$H$60,Bills!$C$5:$C$60,A8)</f>
        <v/>
      </c>
      <c r="E8" s="11">
        <f>C8-D8</f>
        <v/>
      </c>
      <c r="F8" s="11">
        <f>SUMIFS(Bills!$I$5:$I$60,Bills!$C$5:$C$60,A8,Bills!$J$5:$J$60,"&gt;0")</f>
        <v/>
      </c>
      <c r="G8" s="8">
        <f>COUNTIF('Purchase orders'!$C$5:$C$60,A8)</f>
        <v/>
      </c>
      <c r="H8" s="8">
        <f>COUNTIFS('Purchase orders'!$C$5:$C$60,A8,'Purchase orders'!$I$5:$I$60,"On time")</f>
        <v/>
      </c>
      <c r="I8" s="12">
        <f>IFERROR(H8/(H8+COUNTIFS('Purchase orders'!$C$5:$C$60,A8,'Purchase orders'!$I$5:$I$60,"Late")),0)</f>
        <v/>
      </c>
      <c r="J8" s="8">
        <f>_xlfn.XLOOKUP(A8,Setup!$A$6:$A$10,Setup!$F$6:$F$10)</f>
        <v/>
      </c>
      <c r="K8" s="8">
        <f>ROUND(50*I8+10*J8,0)</f>
        <v/>
      </c>
      <c r="L8" s="8">
        <f>IF(K8&gt;=80,"A",IF(K8&gt;=60,"B","C"))</f>
        <v/>
      </c>
    </row>
    <row r="9">
      <c r="A9" s="8">
        <f>Setup!A10</f>
        <v/>
      </c>
      <c r="B9" s="8">
        <f>_xlfn.XLOOKUP(A9,Setup!$A$6:$A$10,Setup!$B$6:$B$10)</f>
        <v/>
      </c>
      <c r="C9" s="11">
        <f>SUMIFS(Bills!$F$5:$F$60,Bills!$C$5:$C$60,A9)</f>
        <v/>
      </c>
      <c r="D9" s="11">
        <f>SUMIFS(Bills!$H$5:$H$60,Bills!$C$5:$C$60,A9)</f>
        <v/>
      </c>
      <c r="E9" s="11">
        <f>C9-D9</f>
        <v/>
      </c>
      <c r="F9" s="11">
        <f>SUMIFS(Bills!$I$5:$I$60,Bills!$C$5:$C$60,A9,Bills!$J$5:$J$60,"&gt;0")</f>
        <v/>
      </c>
      <c r="G9" s="8">
        <f>COUNTIF('Purchase orders'!$C$5:$C$60,A9)</f>
        <v/>
      </c>
      <c r="H9" s="8">
        <f>COUNTIFS('Purchase orders'!$C$5:$C$60,A9,'Purchase orders'!$I$5:$I$60,"On time")</f>
        <v/>
      </c>
      <c r="I9" s="12">
        <f>IFERROR(H9/(H9+COUNTIFS('Purchase orders'!$C$5:$C$60,A9,'Purchase orders'!$I$5:$I$60,"Late")),0)</f>
        <v/>
      </c>
      <c r="J9" s="8">
        <f>_xlfn.XLOOKUP(A9,Setup!$A$6:$A$10,Setup!$F$6:$F$10)</f>
        <v/>
      </c>
      <c r="K9" s="8">
        <f>ROUND(50*I9+10*J9,0)</f>
        <v/>
      </c>
      <c r="L9" s="8">
        <f>IF(K9&gt;=80,"A",IF(K9&gt;=60,"B","C"))</f>
        <v/>
      </c>
    </row>
    <row r="10">
      <c r="B10" s="13" t="inlineStr">
        <is>
          <t>Total</t>
        </is>
      </c>
      <c r="C10" s="14">
        <f>SUM(C5:C9)</f>
        <v/>
      </c>
      <c r="D10" s="14">
        <f>SUM(D5:D9)</f>
        <v/>
      </c>
      <c r="E10" s="14">
        <f>SUM(E5:E9)</f>
        <v/>
      </c>
      <c r="F10" s="14">
        <f>SUM(F5:F9)</f>
        <v/>
      </c>
    </row>
    <row r="12">
      <c r="A12" s="5" t="inlineStr">
        <is>
          <t>Ageing bucket</t>
        </is>
      </c>
      <c r="B12" s="5" t="inlineStr">
        <is>
          <t>Unpaid balance (₹)</t>
        </is>
      </c>
      <c r="C12" s="5" t="inlineStr">
        <is>
          <t>Bills</t>
        </is>
      </c>
    </row>
    <row r="13">
      <c r="A13" s="7" t="inlineStr">
        <is>
          <t>Not due</t>
        </is>
      </c>
      <c r="B13" s="11">
        <f>SUMIFS(Bills!$I$5:$I$60,Bills!$K$5:$K$60,A13)</f>
        <v/>
      </c>
      <c r="C13" s="8">
        <f>COUNTIF(Bills!$K$5:$K$60,A13)</f>
        <v/>
      </c>
    </row>
    <row r="14">
      <c r="A14" s="7" t="inlineStr">
        <is>
          <t>1-30</t>
        </is>
      </c>
      <c r="B14" s="11">
        <f>SUMIFS(Bills!$I$5:$I$60,Bills!$K$5:$K$60,A14)</f>
        <v/>
      </c>
      <c r="C14" s="8">
        <f>COUNTIF(Bills!$K$5:$K$60,A14)</f>
        <v/>
      </c>
    </row>
    <row r="15">
      <c r="A15" s="7" t="inlineStr">
        <is>
          <t>31-60</t>
        </is>
      </c>
      <c r="B15" s="11">
        <f>SUMIFS(Bills!$I$5:$I$60,Bills!$K$5:$K$60,A15)</f>
        <v/>
      </c>
      <c r="C15" s="8">
        <f>COUNTIF(Bills!$K$5:$K$60,A15)</f>
        <v/>
      </c>
    </row>
    <row r="16">
      <c r="A16" s="7" t="inlineStr">
        <is>
          <t>60+</t>
        </is>
      </c>
      <c r="B16" s="11">
        <f>SUMIFS(Bills!$I$5:$I$60,Bills!$K$5:$K$60,A16)</f>
        <v/>
      </c>
      <c r="C16" s="8">
        <f>COUNTIF(Bills!$K$5:$K$60,A16)</f>
        <v/>
      </c>
    </row>
  </sheetData>
  <conditionalFormatting sqref="L5:L9">
    <cfRule type="cellIs" priority="1" operator="equal" dxfId="0">
      <formula>"A"</formula>
    </cfRule>
    <cfRule type="cellIs" priority="2" operator="equal" dxfId="1">
      <formula>"C"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</cols>
  <sheetData>
    <row r="1">
      <c r="A1" s="1" t="inlineStr">
        <is>
          <t>Vendor dashboard</t>
        </is>
      </c>
    </row>
    <row r="2">
      <c r="A2" s="2" t="inlineStr">
        <is>
          <t>Formulas over Report, Bills and Purchase orders.</t>
        </is>
      </c>
    </row>
    <row r="4" ht="32" customHeight="1">
      <c r="A4" s="5" t="inlineStr">
        <is>
          <t>Billed</t>
        </is>
      </c>
      <c r="B4" s="5" t="inlineStr">
        <is>
          <t>Outstanding</t>
        </is>
      </c>
      <c r="C4" s="5" t="inlineStr">
        <is>
          <t>Overdue</t>
        </is>
      </c>
      <c r="D4" s="5" t="inlineStr">
        <is>
          <t>On-time deliveries</t>
        </is>
      </c>
      <c r="E4" s="5" t="inlineStr">
        <is>
          <t>Open POs (not received)</t>
        </is>
      </c>
      <c r="F4" s="5" t="inlineStr">
        <is>
          <t>Grade C vendors</t>
        </is>
      </c>
    </row>
    <row r="5" ht="30" customHeight="1">
      <c r="A5" s="15">
        <f>Report!C10</f>
        <v/>
      </c>
      <c r="B5" s="15">
        <f>Report!E10</f>
        <v/>
      </c>
      <c r="C5" s="15">
        <f>Report!F10</f>
        <v/>
      </c>
      <c r="D5" s="16">
        <f>COUNTIF('Purchase orders'!$I$5:$I$60,"On time")/(COUNTIF('Purchase orders'!$I$5:$I$60,"On time")+COUNTIF('Purchase orders'!$I$5:$I$60,"Late"))</f>
        <v/>
      </c>
      <c r="E5" s="17">
        <f>COUNTIFS('Purchase orders'!$A$5:$A$60,"&lt;&gt;",'Purchase orders'!$H$5:$H$60,"")</f>
        <v/>
      </c>
      <c r="F5" s="17">
        <f>COUNTIF(Report!L5:L9,"C")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2026-10-17T05:37:24Z</dcterms:created>
  <dcterms:modified xmlns:dcterms="http://purl.org/dc/terms/" xmlns:xsi="http://www.w3.org/2001/XMLSchema-instance" xsi:type="dcterms:W3CDTF">2026-10-17T05:37:24Z</dcterms:modified>
</cp:coreProperties>
</file>