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ookings" sheetId="3" state="visible" r:id="rId3"/>
    <sheet xmlns:r="http://schemas.openxmlformats.org/officeDocument/2006/relationships" name="Payments" sheetId="4" state="visible" r:id="rId4"/>
    <sheet xmlns:r="http://schemas.openxmlformats.org/officeDocument/2006/relationships" name="Report" sheetId="5" state="visible" r:id="rId5"/>
    <sheet xmlns:r="http://schemas.openxmlformats.org/officeDocument/2006/relationships" name="Invoice" sheetId="6" state="visible" r:id="rId6"/>
    <sheet xmlns:r="http://schemas.openxmlformats.org/officeDocument/2006/relationships" name="Dashboard" sheetId="7" state="visible" r:id="rId7"/>
  </sheets>
  <definedNames>
    <definedName name="_xlnm.Print_Area" localSheetId="5">'Invoice'!$A$1:$B$18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167" fontId="0" fillId="2" borderId="1" pivotButton="0" quotePrefix="0" xfId="0"/>
    <xf numFmtId="167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0" fillId="0" borderId="1" pivotButton="0" quotePrefix="0" xfId="0"/>
    <xf numFmtId="165" fontId="0" fillId="4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by package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'Report'!$F$5:$F$9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Travellers by package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'Report'!$A$5:$A$9</f>
            </numRef>
          </cat>
          <val>
            <numRef>
              <f>'Report'!$C$5:$C$9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Travel agency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(packages, GST, balance rule), Bookings, Payments, Report, Invoice (printable), Dashboard.</t>
        </is>
      </c>
    </row>
    <row r="8">
      <c r="A8" t="inlineStr">
        <is>
          <t>Record every payment on Payments; Bookings adds them by booking ID.</t>
        </is>
      </c>
    </row>
    <row r="9">
      <c r="A9" t="inlineStr">
        <is>
          <t>GST on tour packages is an input; confirm the rate and whether input tax credit applies with your accountant.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4" customWidth="1" min="1" max="1"/>
    <col width="8" customWidth="1" min="2" max="2"/>
    <col width="14" customWidth="1" min="3" max="3"/>
    <col width="14" customWidth="1" min="4" max="4"/>
    <col width="14" customWidth="1" min="5" max="5"/>
    <col width="13" customWidth="1" min="7" max="7"/>
  </cols>
  <sheetData>
    <row r="1">
      <c r="A1" s="1" t="inlineStr">
        <is>
          <t>Travel Agency Management System: Setup (Ravina Holidays, Nashik)</t>
        </is>
      </c>
    </row>
    <row r="2">
      <c r="A2" s="2" t="inlineStr">
        <is>
          <t>Made-up packages, bookings and payments for 2026. GST on tour packages is an input; confirm the rate with your accountant.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GST on tour package</t>
        </is>
      </c>
      <c r="B4" s="5" t="n">
        <v>0.05</v>
      </c>
    </row>
    <row r="5">
      <c r="A5" s="3" t="inlineStr">
        <is>
          <t>Collect balance days before travel</t>
        </is>
      </c>
      <c r="B5" s="6" t="n">
        <v>15</v>
      </c>
    </row>
    <row r="6">
      <c r="A6" s="3" t="inlineStr">
        <is>
          <t>Child price (share of adult)</t>
        </is>
      </c>
      <c r="B6" s="5" t="n">
        <v>0.5</v>
      </c>
    </row>
    <row r="8">
      <c r="A8" s="7" t="inlineStr">
        <is>
          <t>Package</t>
        </is>
      </c>
      <c r="B8" s="7" t="inlineStr">
        <is>
          <t>Nights</t>
        </is>
      </c>
      <c r="C8" s="7" t="inlineStr">
        <is>
          <t>Cost per adult (₹)</t>
        </is>
      </c>
      <c r="D8" s="7" t="inlineStr">
        <is>
          <t>Price per adult (₹)</t>
        </is>
      </c>
      <c r="E8" s="7" t="inlineStr">
        <is>
          <t>Margin per adult (₹)</t>
        </is>
      </c>
      <c r="G8" s="8" t="inlineStr">
        <is>
          <t>Modes</t>
        </is>
      </c>
    </row>
    <row r="9">
      <c r="A9" s="6" t="inlineStr">
        <is>
          <t>Goa 4 nights</t>
        </is>
      </c>
      <c r="B9" s="6" t="n">
        <v>4</v>
      </c>
      <c r="C9" s="9" t="n">
        <v>14000</v>
      </c>
      <c r="D9" s="9" t="n">
        <v>18500</v>
      </c>
      <c r="E9" s="10">
        <f>D9-C9</f>
        <v/>
      </c>
      <c r="G9" s="6" t="inlineStr">
        <is>
          <t>UPI</t>
        </is>
      </c>
    </row>
    <row r="10">
      <c r="A10" s="6" t="inlineStr">
        <is>
          <t>Kerala 5 nights</t>
        </is>
      </c>
      <c r="B10" s="6" t="n">
        <v>5</v>
      </c>
      <c r="C10" s="9" t="n">
        <v>19000</v>
      </c>
      <c r="D10" s="9" t="n">
        <v>24500</v>
      </c>
      <c r="E10" s="10">
        <f>D10-C10</f>
        <v/>
      </c>
      <c r="G10" s="6" t="inlineStr">
        <is>
          <t>Bank transfer</t>
        </is>
      </c>
    </row>
    <row r="11">
      <c r="A11" s="6" t="inlineStr">
        <is>
          <t>Kashmir 6 nights</t>
        </is>
      </c>
      <c r="B11" s="6" t="n">
        <v>6</v>
      </c>
      <c r="C11" s="9" t="n">
        <v>24000</v>
      </c>
      <c r="D11" s="9" t="n">
        <v>31000</v>
      </c>
      <c r="E11" s="10">
        <f>D11-C11</f>
        <v/>
      </c>
      <c r="G11" s="6" t="inlineStr">
        <is>
          <t>Card</t>
        </is>
      </c>
    </row>
    <row r="12">
      <c r="A12" s="6" t="inlineStr">
        <is>
          <t>Rajasthan 5 nights</t>
        </is>
      </c>
      <c r="B12" s="6" t="n">
        <v>5</v>
      </c>
      <c r="C12" s="9" t="n">
        <v>16000</v>
      </c>
      <c r="D12" s="9" t="n">
        <v>21000</v>
      </c>
      <c r="E12" s="10">
        <f>D12-C12</f>
        <v/>
      </c>
      <c r="G12" s="6" t="inlineStr">
        <is>
          <t>Cash</t>
        </is>
      </c>
    </row>
    <row r="13">
      <c r="A13" s="6" t="inlineStr">
        <is>
          <t>Konkan 2 nights</t>
        </is>
      </c>
      <c r="B13" s="6" t="n">
        <v>2</v>
      </c>
      <c r="C13" s="9" t="n">
        <v>5500</v>
      </c>
      <c r="D13" s="9" t="n">
        <v>7500</v>
      </c>
      <c r="E13" s="10">
        <f>D13-C13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1" customWidth="1" min="2" max="2"/>
    <col width="15" customWidth="1" min="3" max="3"/>
    <col width="17" customWidth="1" min="4" max="4"/>
    <col width="7" customWidth="1" min="5" max="5"/>
    <col width="8" customWidth="1" min="6" max="6"/>
    <col width="11" customWidth="1" min="7" max="7"/>
    <col width="10" customWidth="1" min="8" max="8"/>
    <col width="10" customWidth="1" min="9" max="9"/>
    <col width="8" customWidth="1" min="10" max="10"/>
    <col width="10" customWidth="1" min="11" max="11"/>
    <col width="10" customWidth="1" min="12" max="12"/>
    <col width="10" customWidth="1" min="13" max="13"/>
    <col width="8" customWidth="1" min="14" max="14"/>
    <col width="14" customWidth="1" min="15" max="15"/>
  </cols>
  <sheetData>
    <row r="1">
      <c r="A1" s="1" t="inlineStr">
        <is>
          <t>Bookings</t>
        </is>
      </c>
    </row>
    <row r="2">
      <c r="A2" s="2" t="inlineStr">
        <is>
          <t>Price = (adults + children × child share) × price per adult. Status from travel date and balance.</t>
        </is>
      </c>
    </row>
    <row r="4">
      <c r="A4" s="7" t="inlineStr">
        <is>
          <t>Booking ID</t>
        </is>
      </c>
      <c r="B4" s="7" t="inlineStr">
        <is>
          <t>Booked on</t>
        </is>
      </c>
      <c r="C4" s="7" t="inlineStr">
        <is>
          <t>Customer</t>
        </is>
      </c>
      <c r="D4" s="7" t="inlineStr">
        <is>
          <t>Package</t>
        </is>
      </c>
      <c r="E4" s="7" t="inlineStr">
        <is>
          <t>Adults</t>
        </is>
      </c>
      <c r="F4" s="7" t="inlineStr">
        <is>
          <t>Children</t>
        </is>
      </c>
      <c r="G4" s="7" t="inlineStr">
        <is>
          <t>Travel date</t>
        </is>
      </c>
      <c r="H4" s="7" t="inlineStr">
        <is>
          <t>Price (₹)</t>
        </is>
      </c>
      <c r="I4" s="7" t="inlineStr">
        <is>
          <t>Cost (₹)</t>
        </is>
      </c>
      <c r="J4" s="7" t="inlineStr">
        <is>
          <t>GST (₹)</t>
        </is>
      </c>
      <c r="K4" s="7" t="inlineStr">
        <is>
          <t>Total (₹)</t>
        </is>
      </c>
      <c r="L4" s="7" t="inlineStr">
        <is>
          <t>Paid (₹)</t>
        </is>
      </c>
      <c r="M4" s="7" t="inlineStr">
        <is>
          <t>Balance (₹)</t>
        </is>
      </c>
      <c r="N4" s="7" t="inlineStr">
        <is>
          <t>Days to travel</t>
        </is>
      </c>
      <c r="O4" s="7" t="inlineStr">
        <is>
          <t>Status</t>
        </is>
      </c>
    </row>
    <row r="5">
      <c r="A5" s="11">
        <f>"TR-"&amp;TEXT(ROW()-4,"000")</f>
        <v/>
      </c>
      <c r="B5" s="4" t="n">
        <v>46236</v>
      </c>
      <c r="C5" s="6" t="inlineStr">
        <is>
          <t>Ravindra Bagale</t>
        </is>
      </c>
      <c r="D5" s="6" t="inlineStr">
        <is>
          <t>Kerala 5 nights</t>
        </is>
      </c>
      <c r="E5" s="6" t="n">
        <v>2</v>
      </c>
      <c r="F5" s="6" t="n">
        <v>1</v>
      </c>
      <c r="G5" s="4" t="n">
        <v>46317</v>
      </c>
      <c r="H5" s="10">
        <f>ROUND((E5+F5*Setup!$B$6)*_xlfn.XLOOKUP(D5,Setup!$A$9:$A$13,Setup!$D$9:$D$13,0),0)</f>
        <v/>
      </c>
      <c r="I5" s="10">
        <f>(E5+F5*Setup!$B$6)*_xlfn.XLOOKUP(D5,Setup!$A$9:$A$13,Setup!$C$9:$C$13,0)</f>
        <v/>
      </c>
      <c r="J5" s="10">
        <f>ROUND(H5*Setup!$B$4,0)</f>
        <v/>
      </c>
      <c r="K5" s="10">
        <f>H5+J5</f>
        <v/>
      </c>
      <c r="L5" s="10">
        <f>SUMIFS(Payments!$C$5:$C$2000,Payments!$B$5:$B$2000,A5)</f>
        <v/>
      </c>
      <c r="M5" s="10">
        <f>K5-L5</f>
        <v/>
      </c>
      <c r="N5" s="11">
        <f>G5-Setup!$B$3</f>
        <v/>
      </c>
      <c r="O5" s="11">
        <f>IF(G5&lt;Setup!$B$3,"Completed",IF(M5&lt;=0,"Fully paid",IF(N5&lt;=Setup!$B$5,"Collect balance","Advance paid")))</f>
        <v/>
      </c>
    </row>
    <row r="6">
      <c r="A6" s="11">
        <f>"TR-"&amp;TEXT(ROW()-4,"000")</f>
        <v/>
      </c>
      <c r="B6" s="4" t="n">
        <v>46239</v>
      </c>
      <c r="C6" s="6" t="inlineStr">
        <is>
          <t>Shraddha Patil</t>
        </is>
      </c>
      <c r="D6" s="6" t="inlineStr">
        <is>
          <t>Goa 4 nights</t>
        </is>
      </c>
      <c r="E6" s="6" t="n">
        <v>4</v>
      </c>
      <c r="F6" s="6" t="n">
        <v>0</v>
      </c>
      <c r="G6" s="4" t="n">
        <v>46291</v>
      </c>
      <c r="H6" s="10">
        <f>ROUND((E6+F6*Setup!$B$6)*_xlfn.XLOOKUP(D6,Setup!$A$9:$A$13,Setup!$D$9:$D$13,0),0)</f>
        <v/>
      </c>
      <c r="I6" s="10">
        <f>(E6+F6*Setup!$B$6)*_xlfn.XLOOKUP(D6,Setup!$A$9:$A$13,Setup!$C$9:$C$13,0)</f>
        <v/>
      </c>
      <c r="J6" s="10">
        <f>ROUND(H6*Setup!$B$4,0)</f>
        <v/>
      </c>
      <c r="K6" s="10">
        <f>H6+J6</f>
        <v/>
      </c>
      <c r="L6" s="10">
        <f>SUMIFS(Payments!$C$5:$C$2000,Payments!$B$5:$B$2000,A6)</f>
        <v/>
      </c>
      <c r="M6" s="10">
        <f>K6-L6</f>
        <v/>
      </c>
      <c r="N6" s="11">
        <f>G6-Setup!$B$3</f>
        <v/>
      </c>
      <c r="O6" s="11">
        <f>IF(G6&lt;Setup!$B$3,"Completed",IF(M6&lt;=0,"Fully paid",IF(N6&lt;=Setup!$B$5,"Collect balance","Advance paid")))</f>
        <v/>
      </c>
    </row>
    <row r="7">
      <c r="A7" s="11">
        <f>"TR-"&amp;TEXT(ROW()-4,"000")</f>
        <v/>
      </c>
      <c r="B7" s="4" t="n">
        <v>46246</v>
      </c>
      <c r="C7" s="6" t="inlineStr">
        <is>
          <t>Raja Jadhav</t>
        </is>
      </c>
      <c r="D7" s="6" t="inlineStr">
        <is>
          <t>Kashmir 6 nights</t>
        </is>
      </c>
      <c r="E7" s="6" t="n">
        <v>2</v>
      </c>
      <c r="F7" s="6" t="n">
        <v>0</v>
      </c>
      <c r="G7" s="4" t="n">
        <v>46323</v>
      </c>
      <c r="H7" s="10">
        <f>ROUND((E7+F7*Setup!$B$6)*_xlfn.XLOOKUP(D7,Setup!$A$9:$A$13,Setup!$D$9:$D$13,0),0)</f>
        <v/>
      </c>
      <c r="I7" s="10">
        <f>(E7+F7*Setup!$B$6)*_xlfn.XLOOKUP(D7,Setup!$A$9:$A$13,Setup!$C$9:$C$13,0)</f>
        <v/>
      </c>
      <c r="J7" s="10">
        <f>ROUND(H7*Setup!$B$4,0)</f>
        <v/>
      </c>
      <c r="K7" s="10">
        <f>H7+J7</f>
        <v/>
      </c>
      <c r="L7" s="10">
        <f>SUMIFS(Payments!$C$5:$C$2000,Payments!$B$5:$B$2000,A7)</f>
        <v/>
      </c>
      <c r="M7" s="10">
        <f>K7-L7</f>
        <v/>
      </c>
      <c r="N7" s="11">
        <f>G7-Setup!$B$3</f>
        <v/>
      </c>
      <c r="O7" s="11">
        <f>IF(G7&lt;Setup!$B$3,"Completed",IF(M7&lt;=0,"Fully paid",IF(N7&lt;=Setup!$B$5,"Collect balance","Advance paid")))</f>
        <v/>
      </c>
    </row>
    <row r="8">
      <c r="A8" s="11">
        <f>"TR-"&amp;TEXT(ROW()-4,"000")</f>
        <v/>
      </c>
      <c r="B8" s="4" t="n">
        <v>46254</v>
      </c>
      <c r="C8" s="6" t="inlineStr">
        <is>
          <t>Zoya Khan</t>
        </is>
      </c>
      <c r="D8" s="6" t="inlineStr">
        <is>
          <t>Rajasthan 5 nights</t>
        </is>
      </c>
      <c r="E8" s="6" t="n">
        <v>3</v>
      </c>
      <c r="F8" s="6" t="n">
        <v>2</v>
      </c>
      <c r="G8" s="4" t="n">
        <v>46340</v>
      </c>
      <c r="H8" s="10">
        <f>ROUND((E8+F8*Setup!$B$6)*_xlfn.XLOOKUP(D8,Setup!$A$9:$A$13,Setup!$D$9:$D$13,0),0)</f>
        <v/>
      </c>
      <c r="I8" s="10">
        <f>(E8+F8*Setup!$B$6)*_xlfn.XLOOKUP(D8,Setup!$A$9:$A$13,Setup!$C$9:$C$13,0)</f>
        <v/>
      </c>
      <c r="J8" s="10">
        <f>ROUND(H8*Setup!$B$4,0)</f>
        <v/>
      </c>
      <c r="K8" s="10">
        <f>H8+J8</f>
        <v/>
      </c>
      <c r="L8" s="10">
        <f>SUMIFS(Payments!$C$5:$C$2000,Payments!$B$5:$B$2000,A8)</f>
        <v/>
      </c>
      <c r="M8" s="10">
        <f>K8-L8</f>
        <v/>
      </c>
      <c r="N8" s="11">
        <f>G8-Setup!$B$3</f>
        <v/>
      </c>
      <c r="O8" s="11">
        <f>IF(G8&lt;Setup!$B$3,"Completed",IF(M8&lt;=0,"Fully paid",IF(N8&lt;=Setup!$B$5,"Collect balance","Advance paid")))</f>
        <v/>
      </c>
    </row>
    <row r="9">
      <c r="A9" s="11">
        <f>"TR-"&amp;TEXT(ROW()-4,"000")</f>
        <v/>
      </c>
      <c r="B9" s="4" t="n">
        <v>46266</v>
      </c>
      <c r="C9" s="6" t="inlineStr">
        <is>
          <t>Amir Sayyed</t>
        </is>
      </c>
      <c r="D9" s="6" t="inlineStr">
        <is>
          <t>Konkan 2 nights</t>
        </is>
      </c>
      <c r="E9" s="6" t="n">
        <v>2</v>
      </c>
      <c r="F9" s="6" t="n">
        <v>2</v>
      </c>
      <c r="G9" s="4" t="n">
        <v>46298</v>
      </c>
      <c r="H9" s="10">
        <f>ROUND((E9+F9*Setup!$B$6)*_xlfn.XLOOKUP(D9,Setup!$A$9:$A$13,Setup!$D$9:$D$13,0),0)</f>
        <v/>
      </c>
      <c r="I9" s="10">
        <f>(E9+F9*Setup!$B$6)*_xlfn.XLOOKUP(D9,Setup!$A$9:$A$13,Setup!$C$9:$C$13,0)</f>
        <v/>
      </c>
      <c r="J9" s="10">
        <f>ROUND(H9*Setup!$B$4,0)</f>
        <v/>
      </c>
      <c r="K9" s="10">
        <f>H9+J9</f>
        <v/>
      </c>
      <c r="L9" s="10">
        <f>SUMIFS(Payments!$C$5:$C$2000,Payments!$B$5:$B$2000,A9)</f>
        <v/>
      </c>
      <c r="M9" s="10">
        <f>K9-L9</f>
        <v/>
      </c>
      <c r="N9" s="11">
        <f>G9-Setup!$B$3</f>
        <v/>
      </c>
      <c r="O9" s="11">
        <f>IF(G9&lt;Setup!$B$3,"Completed",IF(M9&lt;=0,"Fully paid",IF(N9&lt;=Setup!$B$5,"Collect balance","Advance paid")))</f>
        <v/>
      </c>
    </row>
    <row r="10">
      <c r="A10" s="11">
        <f>"TR-"&amp;TEXT(ROW()-4,"000")</f>
        <v/>
      </c>
      <c r="B10" s="4" t="n">
        <v>46274</v>
      </c>
      <c r="C10" s="6" t="inlineStr">
        <is>
          <t>Rani Pawar</t>
        </is>
      </c>
      <c r="D10" s="6" t="inlineStr">
        <is>
          <t>Goa 4 nights</t>
        </is>
      </c>
      <c r="E10" s="6" t="n">
        <v>2</v>
      </c>
      <c r="F10" s="6" t="n">
        <v>0</v>
      </c>
      <c r="G10" s="4" t="n">
        <v>46320</v>
      </c>
      <c r="H10" s="10">
        <f>ROUND((E10+F10*Setup!$B$6)*_xlfn.XLOOKUP(D10,Setup!$A$9:$A$13,Setup!$D$9:$D$13,0),0)</f>
        <v/>
      </c>
      <c r="I10" s="10">
        <f>(E10+F10*Setup!$B$6)*_xlfn.XLOOKUP(D10,Setup!$A$9:$A$13,Setup!$C$9:$C$13,0)</f>
        <v/>
      </c>
      <c r="J10" s="10">
        <f>ROUND(H10*Setup!$B$4,0)</f>
        <v/>
      </c>
      <c r="K10" s="10">
        <f>H10+J10</f>
        <v/>
      </c>
      <c r="L10" s="10">
        <f>SUMIFS(Payments!$C$5:$C$2000,Payments!$B$5:$B$2000,A10)</f>
        <v/>
      </c>
      <c r="M10" s="10">
        <f>K10-L10</f>
        <v/>
      </c>
      <c r="N10" s="11">
        <f>G10-Setup!$B$3</f>
        <v/>
      </c>
      <c r="O10" s="11">
        <f>IF(G10&lt;Setup!$B$3,"Completed",IF(M10&lt;=0,"Fully paid",IF(N10&lt;=Setup!$B$5,"Collect balance","Advance paid")))</f>
        <v/>
      </c>
    </row>
    <row r="11">
      <c r="A11" s="11">
        <f>"TR-"&amp;TEXT(ROW()-4,"000")</f>
        <v/>
      </c>
      <c r="B11" s="4" t="n">
        <v>46280</v>
      </c>
      <c r="C11" s="6" t="inlineStr">
        <is>
          <t>Salman Shaikh</t>
        </is>
      </c>
      <c r="D11" s="6" t="inlineStr">
        <is>
          <t>Kerala 5 nights</t>
        </is>
      </c>
      <c r="E11" s="6" t="n">
        <v>2</v>
      </c>
      <c r="F11" s="6" t="n">
        <v>0</v>
      </c>
      <c r="G11" s="4" t="n">
        <v>46376</v>
      </c>
      <c r="H11" s="10">
        <f>ROUND((E11+F11*Setup!$B$6)*_xlfn.XLOOKUP(D11,Setup!$A$9:$A$13,Setup!$D$9:$D$13,0),0)</f>
        <v/>
      </c>
      <c r="I11" s="10">
        <f>(E11+F11*Setup!$B$6)*_xlfn.XLOOKUP(D11,Setup!$A$9:$A$13,Setup!$C$9:$C$13,0)</f>
        <v/>
      </c>
      <c r="J11" s="10">
        <f>ROUND(H11*Setup!$B$4,0)</f>
        <v/>
      </c>
      <c r="K11" s="10">
        <f>H11+J11</f>
        <v/>
      </c>
      <c r="L11" s="10">
        <f>SUMIFS(Payments!$C$5:$C$2000,Payments!$B$5:$B$2000,A11)</f>
        <v/>
      </c>
      <c r="M11" s="10">
        <f>K11-L11</f>
        <v/>
      </c>
      <c r="N11" s="11">
        <f>G11-Setup!$B$3</f>
        <v/>
      </c>
      <c r="O11" s="11">
        <f>IF(G11&lt;Setup!$B$3,"Completed",IF(M11&lt;=0,"Fully paid",IF(N11&lt;=Setup!$B$5,"Collect balance","Advance paid")))</f>
        <v/>
      </c>
    </row>
    <row r="12">
      <c r="A12" s="11">
        <f>"TR-"&amp;TEXT(ROW()-4,"000")</f>
        <v/>
      </c>
      <c r="B12" s="4" t="n">
        <v>46287</v>
      </c>
      <c r="C12" s="6" t="inlineStr">
        <is>
          <t>Ruhi Kulkarni</t>
        </is>
      </c>
      <c r="D12" s="6" t="inlineStr">
        <is>
          <t>Kashmir 6 nights</t>
        </is>
      </c>
      <c r="E12" s="6" t="n">
        <v>4</v>
      </c>
      <c r="F12" s="6" t="n">
        <v>1</v>
      </c>
      <c r="G12" s="4" t="n">
        <v>46325</v>
      </c>
      <c r="H12" s="10">
        <f>ROUND((E12+F12*Setup!$B$6)*_xlfn.XLOOKUP(D12,Setup!$A$9:$A$13,Setup!$D$9:$D$13,0),0)</f>
        <v/>
      </c>
      <c r="I12" s="10">
        <f>(E12+F12*Setup!$B$6)*_xlfn.XLOOKUP(D12,Setup!$A$9:$A$13,Setup!$C$9:$C$13,0)</f>
        <v/>
      </c>
      <c r="J12" s="10">
        <f>ROUND(H12*Setup!$B$4,0)</f>
        <v/>
      </c>
      <c r="K12" s="10">
        <f>H12+J12</f>
        <v/>
      </c>
      <c r="L12" s="10">
        <f>SUMIFS(Payments!$C$5:$C$2000,Payments!$B$5:$B$2000,A12)</f>
        <v/>
      </c>
      <c r="M12" s="10">
        <f>K12-L12</f>
        <v/>
      </c>
      <c r="N12" s="11">
        <f>G12-Setup!$B$3</f>
        <v/>
      </c>
      <c r="O12" s="11">
        <f>IF(G12&lt;Setup!$B$3,"Completed",IF(M12&lt;=0,"Fully paid",IF(N12&lt;=Setup!$B$5,"Collect balance","Advance paid")))</f>
        <v/>
      </c>
    </row>
    <row r="13">
      <c r="A13" s="11">
        <f>"TR-"&amp;TEXT(ROW()-4,"000")</f>
        <v/>
      </c>
      <c r="B13" s="4" t="n">
        <v>46295</v>
      </c>
      <c r="C13" s="6" t="inlineStr">
        <is>
          <t>Shahrukh Mulla</t>
        </is>
      </c>
      <c r="D13" s="6" t="inlineStr">
        <is>
          <t>Konkan 2 nights</t>
        </is>
      </c>
      <c r="E13" s="6" t="n">
        <v>6</v>
      </c>
      <c r="F13" s="6" t="n">
        <v>0</v>
      </c>
      <c r="G13" s="4" t="n">
        <v>46319</v>
      </c>
      <c r="H13" s="10">
        <f>ROUND((E13+F13*Setup!$B$6)*_xlfn.XLOOKUP(D13,Setup!$A$9:$A$13,Setup!$D$9:$D$13,0),0)</f>
        <v/>
      </c>
      <c r="I13" s="10">
        <f>(E13+F13*Setup!$B$6)*_xlfn.XLOOKUP(D13,Setup!$A$9:$A$13,Setup!$C$9:$C$13,0)</f>
        <v/>
      </c>
      <c r="J13" s="10">
        <f>ROUND(H13*Setup!$B$4,0)</f>
        <v/>
      </c>
      <c r="K13" s="10">
        <f>H13+J13</f>
        <v/>
      </c>
      <c r="L13" s="10">
        <f>SUMIFS(Payments!$C$5:$C$2000,Payments!$B$5:$B$2000,A13)</f>
        <v/>
      </c>
      <c r="M13" s="10">
        <f>K13-L13</f>
        <v/>
      </c>
      <c r="N13" s="11">
        <f>G13-Setup!$B$3</f>
        <v/>
      </c>
      <c r="O13" s="11">
        <f>IF(G13&lt;Setup!$B$3,"Completed",IF(M13&lt;=0,"Fully paid",IF(N13&lt;=Setup!$B$5,"Collect balance","Advance paid")))</f>
        <v/>
      </c>
    </row>
    <row r="14">
      <c r="A14" s="11">
        <f>"TR-"&amp;TEXT(ROW()-4,"000")</f>
        <v/>
      </c>
      <c r="B14" s="4" t="n">
        <v>46300</v>
      </c>
      <c r="C14" s="6" t="inlineStr">
        <is>
          <t>Ravina More</t>
        </is>
      </c>
      <c r="D14" s="6" t="inlineStr">
        <is>
          <t>Rajasthan 5 nights</t>
        </is>
      </c>
      <c r="E14" s="6" t="n">
        <v>2</v>
      </c>
      <c r="F14" s="6" t="n">
        <v>0</v>
      </c>
      <c r="G14" s="4" t="n">
        <v>46366</v>
      </c>
      <c r="H14" s="10">
        <f>ROUND((E14+F14*Setup!$B$6)*_xlfn.XLOOKUP(D14,Setup!$A$9:$A$13,Setup!$D$9:$D$13,0),0)</f>
        <v/>
      </c>
      <c r="I14" s="10">
        <f>(E14+F14*Setup!$B$6)*_xlfn.XLOOKUP(D14,Setup!$A$9:$A$13,Setup!$C$9:$C$13,0)</f>
        <v/>
      </c>
      <c r="J14" s="10">
        <f>ROUND(H14*Setup!$B$4,0)</f>
        <v/>
      </c>
      <c r="K14" s="10">
        <f>H14+J14</f>
        <v/>
      </c>
      <c r="L14" s="10">
        <f>SUMIFS(Payments!$C$5:$C$2000,Payments!$B$5:$B$2000,A14)</f>
        <v/>
      </c>
      <c r="M14" s="10">
        <f>K14-L14</f>
        <v/>
      </c>
      <c r="N14" s="11">
        <f>G14-Setup!$B$3</f>
        <v/>
      </c>
      <c r="O14" s="11">
        <f>IF(G14&lt;Setup!$B$3,"Completed",IF(M14&lt;=0,"Fully paid",IF(N14&lt;=Setup!$B$5,"Collect balance","Advance paid")))</f>
        <v/>
      </c>
    </row>
    <row r="15">
      <c r="A15" s="11">
        <f>"TR-"&amp;TEXT(ROW()-4,"000")</f>
        <v/>
      </c>
      <c r="B15" s="4" t="n">
        <v>46305</v>
      </c>
      <c r="C15" s="6" t="inlineStr">
        <is>
          <t>Raja Inamdar</t>
        </is>
      </c>
      <c r="D15" s="6" t="inlineStr">
        <is>
          <t>Goa 4 nights</t>
        </is>
      </c>
      <c r="E15" s="6" t="n">
        <v>2</v>
      </c>
      <c r="F15" s="6" t="n">
        <v>1</v>
      </c>
      <c r="G15" s="4" t="n">
        <v>46347</v>
      </c>
      <c r="H15" s="10">
        <f>ROUND((E15+F15*Setup!$B$6)*_xlfn.XLOOKUP(D15,Setup!$A$9:$A$13,Setup!$D$9:$D$13,0),0)</f>
        <v/>
      </c>
      <c r="I15" s="10">
        <f>(E15+F15*Setup!$B$6)*_xlfn.XLOOKUP(D15,Setup!$A$9:$A$13,Setup!$C$9:$C$13,0)</f>
        <v/>
      </c>
      <c r="J15" s="10">
        <f>ROUND(H15*Setup!$B$4,0)</f>
        <v/>
      </c>
      <c r="K15" s="10">
        <f>H15+J15</f>
        <v/>
      </c>
      <c r="L15" s="10">
        <f>SUMIFS(Payments!$C$5:$C$2000,Payments!$B$5:$B$2000,A15)</f>
        <v/>
      </c>
      <c r="M15" s="10">
        <f>K15-L15</f>
        <v/>
      </c>
      <c r="N15" s="11">
        <f>G15-Setup!$B$3</f>
        <v/>
      </c>
      <c r="O15" s="11">
        <f>IF(G15&lt;Setup!$B$3,"Completed",IF(M15&lt;=0,"Fully paid",IF(N15&lt;=Setup!$B$5,"Collect balance","Advance paid")))</f>
        <v/>
      </c>
    </row>
    <row r="16">
      <c r="A16" s="11">
        <f>"TR-"&amp;TEXT(ROW()-4,"000")</f>
        <v/>
      </c>
      <c r="B16" s="4" t="n">
        <v>46309</v>
      </c>
      <c r="C16" s="6" t="inlineStr">
        <is>
          <t>Zoya Shaikh</t>
        </is>
      </c>
      <c r="D16" s="6" t="inlineStr">
        <is>
          <t>Kerala 5 nights</t>
        </is>
      </c>
      <c r="E16" s="6" t="n">
        <v>2</v>
      </c>
      <c r="F16" s="6" t="n">
        <v>2</v>
      </c>
      <c r="G16" s="4" t="n">
        <v>46327</v>
      </c>
      <c r="H16" s="10">
        <f>ROUND((E16+F16*Setup!$B$6)*_xlfn.XLOOKUP(D16,Setup!$A$9:$A$13,Setup!$D$9:$D$13,0),0)</f>
        <v/>
      </c>
      <c r="I16" s="10">
        <f>(E16+F16*Setup!$B$6)*_xlfn.XLOOKUP(D16,Setup!$A$9:$A$13,Setup!$C$9:$C$13,0)</f>
        <v/>
      </c>
      <c r="J16" s="10">
        <f>ROUND(H16*Setup!$B$4,0)</f>
        <v/>
      </c>
      <c r="K16" s="10">
        <f>H16+J16</f>
        <v/>
      </c>
      <c r="L16" s="10">
        <f>SUMIFS(Payments!$C$5:$C$2000,Payments!$B$5:$B$2000,A16)</f>
        <v/>
      </c>
      <c r="M16" s="10">
        <f>K16-L16</f>
        <v/>
      </c>
      <c r="N16" s="11">
        <f>G16-Setup!$B$3</f>
        <v/>
      </c>
      <c r="O16" s="11">
        <f>IF(G16&lt;Setup!$B$3,"Completed",IF(M16&lt;=0,"Fully paid",IF(N16&lt;=Setup!$B$5,"Collect balance","Advance paid")))</f>
        <v/>
      </c>
    </row>
  </sheetData>
  <conditionalFormatting sqref="A5:O16">
    <cfRule type="expression" priority="1" dxfId="0">
      <formula>$O5="Collect balance"</formula>
    </cfRule>
    <cfRule type="expression" priority="2" dxfId="1">
      <formula>$O5="Completed"</formula>
    </cfRule>
  </conditionalFormatting>
  <dataValidations count="1">
    <dataValidation sqref="D5:D2000" showDropDown="0" showInputMessage="0" showErrorMessage="1" allowBlank="1" errorTitle="Not in the list" error="Pick a value from the list" type="list">
      <formula1>=Setup!$A$9:$A$13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1" customWidth="1" min="3" max="3"/>
    <col width="13" customWidth="1" min="4" max="4"/>
    <col width="16" customWidth="1" min="5" max="5"/>
  </cols>
  <sheetData>
    <row r="1">
      <c r="A1" s="1" t="inlineStr">
        <is>
          <t>Payments received</t>
        </is>
      </c>
    </row>
    <row r="2">
      <c r="A2" s="2" t="inlineStr">
        <is>
          <t>One row per payment against a booking ID.</t>
        </is>
      </c>
    </row>
    <row r="4">
      <c r="A4" s="7" t="inlineStr">
        <is>
          <t>Date</t>
        </is>
      </c>
      <c r="B4" s="7" t="inlineStr">
        <is>
          <t>Booking ID</t>
        </is>
      </c>
      <c r="C4" s="7" t="inlineStr">
        <is>
          <t>Amount (₹)</t>
        </is>
      </c>
      <c r="D4" s="7" t="inlineStr">
        <is>
          <t>Mode</t>
        </is>
      </c>
      <c r="E4" s="7" t="inlineStr">
        <is>
          <t>Customer</t>
        </is>
      </c>
    </row>
    <row r="5">
      <c r="A5" s="4" t="n">
        <v>46236</v>
      </c>
      <c r="B5" s="6" t="inlineStr">
        <is>
          <t>TR-001</t>
        </is>
      </c>
      <c r="C5" s="9" t="n">
        <v>20000</v>
      </c>
      <c r="D5" s="6" t="inlineStr">
        <is>
          <t>UPI</t>
        </is>
      </c>
      <c r="E5" s="11">
        <f>_xlfn.XLOOKUP(B5,Bookings!$A$5:$A$2000,Bookings!$C$5:$C$2000,"Check ID")</f>
        <v/>
      </c>
    </row>
    <row r="6">
      <c r="A6" s="4" t="n">
        <v>46239</v>
      </c>
      <c r="B6" s="6" t="inlineStr">
        <is>
          <t>TR-002</t>
        </is>
      </c>
      <c r="C6" s="9" t="n">
        <v>30000</v>
      </c>
      <c r="D6" s="6" t="inlineStr">
        <is>
          <t>Bank transfer</t>
        </is>
      </c>
      <c r="E6" s="11">
        <f>_xlfn.XLOOKUP(B6,Bookings!$A$5:$A$2000,Bookings!$C$5:$C$2000,"Check ID")</f>
        <v/>
      </c>
    </row>
    <row r="7">
      <c r="A7" s="4" t="n">
        <v>46246</v>
      </c>
      <c r="B7" s="6" t="inlineStr">
        <is>
          <t>TR-003</t>
        </is>
      </c>
      <c r="C7" s="9" t="n">
        <v>25000</v>
      </c>
      <c r="D7" s="6" t="inlineStr">
        <is>
          <t>Card</t>
        </is>
      </c>
      <c r="E7" s="11">
        <f>_xlfn.XLOOKUP(B7,Bookings!$A$5:$A$2000,Bookings!$C$5:$C$2000,"Check ID")</f>
        <v/>
      </c>
    </row>
    <row r="8">
      <c r="A8" s="4" t="n">
        <v>46254</v>
      </c>
      <c r="B8" s="6" t="inlineStr">
        <is>
          <t>TR-004</t>
        </is>
      </c>
      <c r="C8" s="9" t="n">
        <v>30000</v>
      </c>
      <c r="D8" s="6" t="inlineStr">
        <is>
          <t>UPI</t>
        </is>
      </c>
      <c r="E8" s="11">
        <f>_xlfn.XLOOKUP(B8,Bookings!$A$5:$A$2000,Bookings!$C$5:$C$2000,"Check ID")</f>
        <v/>
      </c>
    </row>
    <row r="9">
      <c r="A9" s="4" t="n">
        <v>46266</v>
      </c>
      <c r="B9" s="6" t="inlineStr">
        <is>
          <t>TR-005</t>
        </is>
      </c>
      <c r="C9" s="9" t="n">
        <v>23625</v>
      </c>
      <c r="D9" s="6" t="inlineStr">
        <is>
          <t>Bank transfer</t>
        </is>
      </c>
      <c r="E9" s="11">
        <f>_xlfn.XLOOKUP(B9,Bookings!$A$5:$A$2000,Bookings!$C$5:$C$2000,"Check ID")</f>
        <v/>
      </c>
    </row>
    <row r="10">
      <c r="A10" s="4" t="n">
        <v>46274</v>
      </c>
      <c r="B10" s="6" t="inlineStr">
        <is>
          <t>TR-006</t>
        </is>
      </c>
      <c r="C10" s="9" t="n">
        <v>15000</v>
      </c>
      <c r="D10" s="6" t="inlineStr">
        <is>
          <t>Card</t>
        </is>
      </c>
      <c r="E10" s="11">
        <f>_xlfn.XLOOKUP(B10,Bookings!$A$5:$A$2000,Bookings!$C$5:$C$2000,"Check ID")</f>
        <v/>
      </c>
    </row>
    <row r="11">
      <c r="A11" s="4" t="n">
        <v>46280</v>
      </c>
      <c r="B11" s="6" t="inlineStr">
        <is>
          <t>TR-002</t>
        </is>
      </c>
      <c r="C11" s="9" t="n">
        <v>47700</v>
      </c>
      <c r="D11" s="6" t="inlineStr">
        <is>
          <t>UPI</t>
        </is>
      </c>
      <c r="E11" s="11">
        <f>_xlfn.XLOOKUP(B11,Bookings!$A$5:$A$2000,Bookings!$C$5:$C$2000,"Check ID")</f>
        <v/>
      </c>
    </row>
    <row r="12">
      <c r="A12" s="4" t="n">
        <v>46280</v>
      </c>
      <c r="B12" s="6" t="inlineStr">
        <is>
          <t>TR-007</t>
        </is>
      </c>
      <c r="C12" s="9" t="n">
        <v>20000</v>
      </c>
      <c r="D12" s="6" t="inlineStr">
        <is>
          <t>Bank transfer</t>
        </is>
      </c>
      <c r="E12" s="11">
        <f>_xlfn.XLOOKUP(B12,Bookings!$A$5:$A$2000,Bookings!$C$5:$C$2000,"Check ID")</f>
        <v/>
      </c>
    </row>
    <row r="13">
      <c r="A13" s="4" t="n">
        <v>46287</v>
      </c>
      <c r="B13" s="6" t="inlineStr">
        <is>
          <t>TR-008</t>
        </is>
      </c>
      <c r="C13" s="9" t="n">
        <v>50000</v>
      </c>
      <c r="D13" s="6" t="inlineStr">
        <is>
          <t>Card</t>
        </is>
      </c>
      <c r="E13" s="11">
        <f>_xlfn.XLOOKUP(B13,Bookings!$A$5:$A$2000,Bookings!$C$5:$C$2000,"Check ID")</f>
        <v/>
      </c>
    </row>
    <row r="14">
      <c r="A14" s="4" t="n">
        <v>46295</v>
      </c>
      <c r="B14" s="6" t="inlineStr">
        <is>
          <t>TR-009</t>
        </is>
      </c>
      <c r="C14" s="9" t="n">
        <v>20000</v>
      </c>
      <c r="D14" s="6" t="inlineStr">
        <is>
          <t>UPI</t>
        </is>
      </c>
      <c r="E14" s="11">
        <f>_xlfn.XLOOKUP(B14,Bookings!$A$5:$A$2000,Bookings!$C$5:$C$2000,"Check ID")</f>
        <v/>
      </c>
    </row>
    <row r="15">
      <c r="A15" s="4" t="n">
        <v>46300</v>
      </c>
      <c r="B15" s="6" t="inlineStr">
        <is>
          <t>TR-001</t>
        </is>
      </c>
      <c r="C15" s="9" t="n">
        <v>44313</v>
      </c>
      <c r="D15" s="6" t="inlineStr">
        <is>
          <t>Bank transfer</t>
        </is>
      </c>
      <c r="E15" s="11">
        <f>_xlfn.XLOOKUP(B15,Bookings!$A$5:$A$2000,Bookings!$C$5:$C$2000,"Check ID")</f>
        <v/>
      </c>
    </row>
    <row r="16">
      <c r="A16" s="4" t="n">
        <v>46300</v>
      </c>
      <c r="B16" s="6" t="inlineStr">
        <is>
          <t>TR-010</t>
        </is>
      </c>
      <c r="C16" s="9" t="n">
        <v>15000</v>
      </c>
      <c r="D16" s="6" t="inlineStr">
        <is>
          <t>Card</t>
        </is>
      </c>
      <c r="E16" s="11">
        <f>_xlfn.XLOOKUP(B16,Bookings!$A$5:$A$2000,Bookings!$C$5:$C$2000,"Check ID")</f>
        <v/>
      </c>
    </row>
    <row r="17">
      <c r="A17" s="4" t="n">
        <v>46301</v>
      </c>
      <c r="B17" s="6" t="inlineStr">
        <is>
          <t>TR-006</t>
        </is>
      </c>
      <c r="C17" s="9" t="n">
        <v>23850</v>
      </c>
      <c r="D17" s="6" t="inlineStr">
        <is>
          <t>UPI</t>
        </is>
      </c>
      <c r="E17" s="11">
        <f>_xlfn.XLOOKUP(B17,Bookings!$A$5:$A$2000,Bookings!$C$5:$C$2000,"Check ID")</f>
        <v/>
      </c>
    </row>
    <row r="18">
      <c r="A18" s="4" t="n">
        <v>46305</v>
      </c>
      <c r="B18" s="6" t="inlineStr">
        <is>
          <t>TR-011</t>
        </is>
      </c>
      <c r="C18" s="9" t="n">
        <v>20000</v>
      </c>
      <c r="D18" s="6" t="inlineStr">
        <is>
          <t>Bank transfer</t>
        </is>
      </c>
      <c r="E18" s="11">
        <f>_xlfn.XLOOKUP(B18,Bookings!$A$5:$A$2000,Bookings!$C$5:$C$2000,"Check ID")</f>
        <v/>
      </c>
    </row>
    <row r="19">
      <c r="A19" s="4" t="n">
        <v>46307</v>
      </c>
      <c r="B19" s="6" t="inlineStr">
        <is>
          <t>TR-008</t>
        </is>
      </c>
      <c r="C19" s="9" t="n">
        <v>89800</v>
      </c>
      <c r="D19" s="6" t="inlineStr">
        <is>
          <t>Card</t>
        </is>
      </c>
      <c r="E19" s="11">
        <f>_xlfn.XLOOKUP(B19,Bookings!$A$5:$A$2000,Bookings!$C$5:$C$2000,"Check ID")</f>
        <v/>
      </c>
    </row>
    <row r="20">
      <c r="A20" s="4" t="n">
        <v>46309</v>
      </c>
      <c r="B20" s="6" t="inlineStr">
        <is>
          <t>TR-012</t>
        </is>
      </c>
      <c r="C20" s="9" t="n">
        <v>30000</v>
      </c>
      <c r="D20" s="6" t="inlineStr">
        <is>
          <t>UPI</t>
        </is>
      </c>
      <c r="E20" s="11">
        <f>_xlfn.XLOOKUP(B20,Bookings!$A$5:$A$2000,Bookings!$C$5:$C$2000,"Check ID")</f>
        <v/>
      </c>
    </row>
  </sheetData>
  <dataValidations count="1">
    <dataValidation sqref="D5:D2000" showDropDown="0" showInputMessage="0" showErrorMessage="1" allowBlank="1" errorTitle="Not in the list" error="Pick a value from the list" type="list">
      <formula1>=Setup!$G$9:$G$12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8" customWidth="1" min="1" max="1"/>
    <col width="9" customWidth="1" min="2" max="2"/>
    <col width="10" customWidth="1" min="3" max="3"/>
    <col width="15" customWidth="1" min="4" max="4"/>
    <col width="12" customWidth="1" min="5" max="5"/>
    <col width="12" customWidth="1" min="6" max="6"/>
    <col width="9" customWidth="1" min="7" max="7"/>
  </cols>
  <sheetData>
    <row r="1">
      <c r="A1" s="1" t="inlineStr">
        <is>
          <t>Package report</t>
        </is>
      </c>
    </row>
    <row r="2">
      <c r="A2" s="2" t="inlineStr">
        <is>
          <t>Margin = price − cost, before GST.</t>
        </is>
      </c>
    </row>
    <row r="4">
      <c r="A4" s="7" t="inlineStr">
        <is>
          <t>Package</t>
        </is>
      </c>
      <c r="B4" s="7" t="inlineStr">
        <is>
          <t>Bookings</t>
        </is>
      </c>
      <c r="C4" s="7" t="inlineStr">
        <is>
          <t>Travellers</t>
        </is>
      </c>
      <c r="D4" s="7" t="inlineStr">
        <is>
          <t>Sales before GST (₹)</t>
        </is>
      </c>
      <c r="E4" s="7" t="inlineStr">
        <is>
          <t>Cost (₹)</t>
        </is>
      </c>
      <c r="F4" s="7" t="inlineStr">
        <is>
          <t>Margin (₹)</t>
        </is>
      </c>
      <c r="G4" s="7" t="inlineStr">
        <is>
          <t>Margin %</t>
        </is>
      </c>
    </row>
    <row r="5">
      <c r="A5" s="11">
        <f>Setup!A9</f>
        <v/>
      </c>
      <c r="B5" s="11">
        <f>COUNTIF(Bookings!$D$5:$D$2000,A5)</f>
        <v/>
      </c>
      <c r="C5" s="11">
        <f>SUMIFS(Bookings!$E$5:$E$2000,Bookings!$D$5:$D$2000,A5)+SUMIFS(Bookings!$F$5:$F$2000,Bookings!$D$5:$D$2000,A5)</f>
        <v/>
      </c>
      <c r="D5" s="10">
        <f>SUMIFS(Bookings!$H$5:$H$2000,Bookings!$D$5:$D$2000,A5)</f>
        <v/>
      </c>
      <c r="E5" s="10">
        <f>SUMIFS(Bookings!$I$5:$I$2000,Bookings!$D$5:$D$2000,A5)</f>
        <v/>
      </c>
      <c r="F5" s="10">
        <f>D5-E5</f>
        <v/>
      </c>
      <c r="G5" s="12">
        <f>IFERROR(F5/D5,0)</f>
        <v/>
      </c>
    </row>
    <row r="6">
      <c r="A6" s="11">
        <f>Setup!A10</f>
        <v/>
      </c>
      <c r="B6" s="11">
        <f>COUNTIF(Bookings!$D$5:$D$2000,A6)</f>
        <v/>
      </c>
      <c r="C6" s="11">
        <f>SUMIFS(Bookings!$E$5:$E$2000,Bookings!$D$5:$D$2000,A6)+SUMIFS(Bookings!$F$5:$F$2000,Bookings!$D$5:$D$2000,A6)</f>
        <v/>
      </c>
      <c r="D6" s="10">
        <f>SUMIFS(Bookings!$H$5:$H$2000,Bookings!$D$5:$D$2000,A6)</f>
        <v/>
      </c>
      <c r="E6" s="10">
        <f>SUMIFS(Bookings!$I$5:$I$2000,Bookings!$D$5:$D$2000,A6)</f>
        <v/>
      </c>
      <c r="F6" s="10">
        <f>D6-E6</f>
        <v/>
      </c>
      <c r="G6" s="12">
        <f>IFERROR(F6/D6,0)</f>
        <v/>
      </c>
    </row>
    <row r="7">
      <c r="A7" s="11">
        <f>Setup!A11</f>
        <v/>
      </c>
      <c r="B7" s="11">
        <f>COUNTIF(Bookings!$D$5:$D$2000,A7)</f>
        <v/>
      </c>
      <c r="C7" s="11">
        <f>SUMIFS(Bookings!$E$5:$E$2000,Bookings!$D$5:$D$2000,A7)+SUMIFS(Bookings!$F$5:$F$2000,Bookings!$D$5:$D$2000,A7)</f>
        <v/>
      </c>
      <c r="D7" s="10">
        <f>SUMIFS(Bookings!$H$5:$H$2000,Bookings!$D$5:$D$2000,A7)</f>
        <v/>
      </c>
      <c r="E7" s="10">
        <f>SUMIFS(Bookings!$I$5:$I$2000,Bookings!$D$5:$D$2000,A7)</f>
        <v/>
      </c>
      <c r="F7" s="10">
        <f>D7-E7</f>
        <v/>
      </c>
      <c r="G7" s="12">
        <f>IFERROR(F7/D7,0)</f>
        <v/>
      </c>
    </row>
    <row r="8">
      <c r="A8" s="11">
        <f>Setup!A12</f>
        <v/>
      </c>
      <c r="B8" s="11">
        <f>COUNTIF(Bookings!$D$5:$D$2000,A8)</f>
        <v/>
      </c>
      <c r="C8" s="11">
        <f>SUMIFS(Bookings!$E$5:$E$2000,Bookings!$D$5:$D$2000,A8)+SUMIFS(Bookings!$F$5:$F$2000,Bookings!$D$5:$D$2000,A8)</f>
        <v/>
      </c>
      <c r="D8" s="10">
        <f>SUMIFS(Bookings!$H$5:$H$2000,Bookings!$D$5:$D$2000,A8)</f>
        <v/>
      </c>
      <c r="E8" s="10">
        <f>SUMIFS(Bookings!$I$5:$I$2000,Bookings!$D$5:$D$2000,A8)</f>
        <v/>
      </c>
      <c r="F8" s="10">
        <f>D8-E8</f>
        <v/>
      </c>
      <c r="G8" s="12">
        <f>IFERROR(F8/D8,0)</f>
        <v/>
      </c>
    </row>
    <row r="9">
      <c r="A9" s="11">
        <f>Setup!A13</f>
        <v/>
      </c>
      <c r="B9" s="11">
        <f>COUNTIF(Bookings!$D$5:$D$2000,A9)</f>
        <v/>
      </c>
      <c r="C9" s="11">
        <f>SUMIFS(Bookings!$E$5:$E$2000,Bookings!$D$5:$D$2000,A9)+SUMIFS(Bookings!$F$5:$F$2000,Bookings!$D$5:$D$2000,A9)</f>
        <v/>
      </c>
      <c r="D9" s="10">
        <f>SUMIFS(Bookings!$H$5:$H$2000,Bookings!$D$5:$D$2000,A9)</f>
        <v/>
      </c>
      <c r="E9" s="10">
        <f>SUMIFS(Bookings!$I$5:$I$2000,Bookings!$D$5:$D$2000,A9)</f>
        <v/>
      </c>
      <c r="F9" s="10">
        <f>D9-E9</f>
        <v/>
      </c>
      <c r="G9" s="12">
        <f>IFERROR(F9/D9,0)</f>
        <v/>
      </c>
    </row>
    <row r="10">
      <c r="A10" s="13" t="inlineStr">
        <is>
          <t>Total</t>
        </is>
      </c>
      <c r="B10" s="13">
        <f>SUM(B5:B9)</f>
        <v/>
      </c>
      <c r="C10" s="13">
        <f>SUM(C5:C9)</f>
        <v/>
      </c>
      <c r="D10" s="14">
        <f>SUM(D5:D9)</f>
        <v/>
      </c>
      <c r="E10" s="14">
        <f>SUM(E5:E9)</f>
        <v/>
      </c>
      <c r="F10" s="14">
        <f>SUM(F5:F9)</f>
        <v/>
      </c>
    </row>
    <row r="12">
      <c r="A12" s="7" t="inlineStr">
        <is>
          <t>Status</t>
        </is>
      </c>
      <c r="B12" s="7" t="inlineStr">
        <is>
          <t>Bookings</t>
        </is>
      </c>
      <c r="C12" s="7" t="inlineStr">
        <is>
          <t>Balance (₹)</t>
        </is>
      </c>
    </row>
    <row r="13">
      <c r="A13" s="15" t="inlineStr">
        <is>
          <t>Collect balance</t>
        </is>
      </c>
      <c r="B13" s="11">
        <f>COUNTIF(Bookings!$O$5:$O$2000,A13)</f>
        <v/>
      </c>
      <c r="C13" s="10">
        <f>SUMIFS(Bookings!$M$5:$M$2000,Bookings!$O$5:$O$2000,A13)</f>
        <v/>
      </c>
    </row>
    <row r="14">
      <c r="A14" s="15" t="inlineStr">
        <is>
          <t>Advance paid</t>
        </is>
      </c>
      <c r="B14" s="11">
        <f>COUNTIF(Bookings!$O$5:$O$2000,A14)</f>
        <v/>
      </c>
      <c r="C14" s="10">
        <f>SUMIFS(Bookings!$M$5:$M$2000,Bookings!$O$5:$O$2000,A14)</f>
        <v/>
      </c>
    </row>
    <row r="15">
      <c r="A15" s="15" t="inlineStr">
        <is>
          <t>Fully paid</t>
        </is>
      </c>
      <c r="B15" s="11">
        <f>COUNTIF(Bookings!$O$5:$O$2000,A15)</f>
        <v/>
      </c>
      <c r="C15" s="10">
        <f>SUMIFS(Bookings!$M$5:$M$2000,Bookings!$O$5:$O$2000,A15)</f>
        <v/>
      </c>
    </row>
    <row r="16">
      <c r="A16" s="15" t="inlineStr">
        <is>
          <t>Completed</t>
        </is>
      </c>
      <c r="B16" s="11">
        <f>COUNTIF(Bookings!$O$5:$O$2000,A16)</f>
        <v/>
      </c>
      <c r="C16" s="10">
        <f>SUMIFS(Bookings!$M$5:$M$2000,Bookings!$O$5:$O$2000,A16)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</cols>
  <sheetData>
    <row r="1">
      <c r="A1" s="1" t="inlineStr">
        <is>
          <t>Printable booking invoice</t>
        </is>
      </c>
    </row>
    <row r="2">
      <c r="A2" s="2" t="inlineStr">
        <is>
          <t>Type a booking ID in B4. Print A1:B18.</t>
        </is>
      </c>
    </row>
    <row r="3">
      <c r="A3" s="3" t="inlineStr">
        <is>
          <t>Ravina Holidays, Nashik (GSTIN: your GSTIN)</t>
        </is>
      </c>
    </row>
    <row r="4">
      <c r="A4" s="3" t="inlineStr">
        <is>
          <t>Booking ID</t>
        </is>
      </c>
      <c r="B4" s="6" t="inlineStr">
        <is>
          <t>TR-012</t>
        </is>
      </c>
    </row>
    <row r="6">
      <c r="A6" s="3" t="inlineStr">
        <is>
          <t>Customer</t>
        </is>
      </c>
      <c r="B6" s="11">
        <f>_xlfn.XLOOKUP($B$4,Bookings!$A$5:$A$2000,Bookings!$C$5:$C$2000,"Not found")</f>
        <v/>
      </c>
    </row>
    <row r="7">
      <c r="A7" s="3" t="inlineStr">
        <is>
          <t>Package</t>
        </is>
      </c>
      <c r="B7" s="11">
        <f>_xlfn.XLOOKUP($B$4,Bookings!$A$5:$A$2000,Bookings!$D$5:$D$2000,"Not found")</f>
        <v/>
      </c>
    </row>
    <row r="8">
      <c r="A8" s="3" t="inlineStr">
        <is>
          <t>Adults</t>
        </is>
      </c>
      <c r="B8" s="11">
        <f>_xlfn.XLOOKUP($B$4,Bookings!$A$5:$A$2000,Bookings!$E$5:$E$2000,"Not found")</f>
        <v/>
      </c>
    </row>
    <row r="9">
      <c r="A9" s="3" t="inlineStr">
        <is>
          <t>Children</t>
        </is>
      </c>
      <c r="B9" s="11">
        <f>_xlfn.XLOOKUP($B$4,Bookings!$A$5:$A$2000,Bookings!$F$5:$F$2000,"Not found")</f>
        <v/>
      </c>
    </row>
    <row r="10">
      <c r="A10" s="3" t="inlineStr">
        <is>
          <t>Travel date</t>
        </is>
      </c>
      <c r="B10" s="16">
        <f>_xlfn.XLOOKUP($B$4,Bookings!$A$5:$A$2000,Bookings!$G$5:$G$2000,"Not found")</f>
        <v/>
      </c>
    </row>
    <row r="11">
      <c r="A11" s="3" t="inlineStr">
        <is>
          <t>Price (₹)</t>
        </is>
      </c>
      <c r="B11" s="10">
        <f>_xlfn.XLOOKUP($B$4,Bookings!$A$5:$A$2000,Bookings!$H$5:$H$2000,"Not found")</f>
        <v/>
      </c>
    </row>
    <row r="12">
      <c r="A12" s="3" t="inlineStr">
        <is>
          <t>GST (₹)</t>
        </is>
      </c>
      <c r="B12" s="10">
        <f>_xlfn.XLOOKUP($B$4,Bookings!$A$5:$A$2000,Bookings!$J$5:$J$2000,"Not found")</f>
        <v/>
      </c>
    </row>
    <row r="13">
      <c r="A13" s="3" t="inlineStr">
        <is>
          <t>Total (₹)</t>
        </is>
      </c>
      <c r="B13" s="10">
        <f>_xlfn.XLOOKUP($B$4,Bookings!$A$5:$A$2000,Bookings!$K$5:$K$2000,"Not found")</f>
        <v/>
      </c>
    </row>
    <row r="14">
      <c r="A14" s="3" t="inlineStr">
        <is>
          <t>Paid (₹)</t>
        </is>
      </c>
      <c r="B14" s="10">
        <f>_xlfn.XLOOKUP($B$4,Bookings!$A$5:$A$2000,Bookings!$L$5:$L$2000,"Not found")</f>
        <v/>
      </c>
    </row>
    <row r="15">
      <c r="A15" s="3" t="inlineStr">
        <is>
          <t>Balance (₹)</t>
        </is>
      </c>
      <c r="B15" s="10">
        <f>_xlfn.XLOOKUP($B$4,Bookings!$A$5:$A$2000,Bookings!$M$5:$M$2000,"Not found")</f>
        <v/>
      </c>
    </row>
    <row r="17">
      <c r="A17" s="3" t="inlineStr">
        <is>
          <t>Balance due by</t>
        </is>
      </c>
      <c r="B17" s="16">
        <f>B10-Setup!B5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Travel dashboard: bookings for 2026</t>
        </is>
      </c>
    </row>
    <row r="2">
      <c r="A2" s="2" t="inlineStr">
        <is>
          <t>Formulas over Bookings and Report.</t>
        </is>
      </c>
    </row>
    <row r="4" ht="32" customHeight="1">
      <c r="A4" s="7" t="inlineStr">
        <is>
          <t>Bookings</t>
        </is>
      </c>
      <c r="B4" s="7" t="inlineStr">
        <is>
          <t>Travellers</t>
        </is>
      </c>
      <c r="C4" s="7" t="inlineStr">
        <is>
          <t>Sales before GST</t>
        </is>
      </c>
      <c r="D4" s="7" t="inlineStr">
        <is>
          <t>Margin</t>
        </is>
      </c>
      <c r="E4" s="7" t="inlineStr">
        <is>
          <t>Balance to collect</t>
        </is>
      </c>
      <c r="F4" s="7" t="inlineStr">
        <is>
          <t>Collect now</t>
        </is>
      </c>
    </row>
    <row r="5" ht="30" customHeight="1">
      <c r="A5" s="17">
        <f>COUNTA(Bookings!$C$5:$C$2000)</f>
        <v/>
      </c>
      <c r="B5" s="17">
        <f>Report!C10</f>
        <v/>
      </c>
      <c r="C5" s="18">
        <f>Report!D10</f>
        <v/>
      </c>
      <c r="D5" s="18">
        <f>Report!F10</f>
        <v/>
      </c>
      <c r="E5" s="18">
        <f>SUM(Bookings!$M$5:$M$2000)</f>
        <v/>
      </c>
      <c r="F5" s="17">
        <f>Report!B13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2026-10-17T06:59:10Z</dcterms:created>
  <dcterms:modified xmlns:dcterms="http://purl.org/dc/terms/" xmlns:xsi="http://www.w3.org/2001/XMLSchema-instance" xsi:type="dcterms:W3CDTF">2026-10-17T06:59:10Z</dcterms:modified>
</cp:coreProperties>
</file>