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Invoices" sheetId="4" state="visible" r:id="rId4"/>
    <sheet xmlns:r="http://schemas.openxmlformats.org/officeDocument/2006/relationships" name="Receipts" sheetId="5" state="visible" r:id="rId5"/>
    <sheet xmlns:r="http://schemas.openxmlformats.org/officeDocument/2006/relationships" name="Ageing" sheetId="6" state="visible" r:id="rId6"/>
    <sheet xmlns:r="http://schemas.openxmlformats.org/officeDocument/2006/relationships" name="Statement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'Statement'!$A$1:$B$13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167" fontId="0" fillId="2" borderId="1" pivotButton="0" quotePrefix="0" xfId="0"/>
    <xf numFmtId="167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age bucket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'Ageing'!$A$14:$A$18</f>
            </numRef>
          </cat>
          <val>
            <numRef>
              <f>'Ageing'!$B$14:$B$18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customer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'Ageing'!$A$5:$A$10</f>
            </numRef>
          </cat>
          <val>
            <numRef>
              <f>'Ageing'!$H$5:$H$10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Small business accounts receivable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(as-of date, GST), Customers (credit days and limit), Invoices, Receipts, Ageing, Statement (printable), Dashboard.</t>
        </is>
      </c>
    </row>
    <row r="8">
      <c r="A8" t="inlineStr">
        <is>
          <t>Book every receipt against an invoice number; part payments are fine.</t>
        </is>
      </c>
    </row>
    <row r="9">
      <c r="A9" t="inlineStr">
        <is>
          <t>Look at the Over 90 and 61-90 columns every week and call those customers first.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Small Business Accounts Receivable System: Setup (Ravindra Trading Co, Solapur)</t>
        </is>
      </c>
    </row>
    <row r="2">
      <c r="A2" s="2" t="inlineStr">
        <is>
          <t>Made-up customers, invoices and receipts for July to October 2026. GST rate is an example; use the rate for your goods.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GST</t>
        </is>
      </c>
      <c r="B4" s="5" t="n">
        <v>0.18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0" customWidth="1" min="3" max="3"/>
    <col width="14" customWidth="1" min="4" max="4"/>
    <col width="14" customWidth="1" min="5" max="5"/>
    <col width="11" customWidth="1" min="6" max="6"/>
  </cols>
  <sheetData>
    <row r="1">
      <c r="A1" s="1" t="inlineStr">
        <is>
          <t>Customers</t>
        </is>
      </c>
    </row>
    <row r="2">
      <c r="A2" s="2" t="inlineStr">
        <is>
          <t>Credit days decide the due date. Outstanding comes from Invoices.</t>
        </is>
      </c>
    </row>
    <row r="4">
      <c r="A4" s="6" t="inlineStr">
        <is>
          <t>Customer ID</t>
        </is>
      </c>
      <c r="B4" s="6" t="inlineStr">
        <is>
          <t>Customer</t>
        </is>
      </c>
      <c r="C4" s="6" t="inlineStr">
        <is>
          <t>Credit days</t>
        </is>
      </c>
      <c r="D4" s="6" t="inlineStr">
        <is>
          <t>Credit limit (₹)</t>
        </is>
      </c>
      <c r="E4" s="6" t="inlineStr">
        <is>
          <t>Outstanding (₹)</t>
        </is>
      </c>
      <c r="F4" s="6" t="inlineStr">
        <is>
          <t>Limit check</t>
        </is>
      </c>
    </row>
    <row r="5">
      <c r="A5" s="7" t="inlineStr">
        <is>
          <t>C01</t>
        </is>
      </c>
      <c r="B5" s="7" t="inlineStr">
        <is>
          <t>Shraddha Kirana Stores</t>
        </is>
      </c>
      <c r="C5" s="7" t="n">
        <v>30</v>
      </c>
      <c r="D5" s="8" t="n">
        <v>100000</v>
      </c>
      <c r="E5" s="9">
        <f>SUMIFS(Invoices!$J$5:$J$3000,Invoices!$C$5:$C$3000,A5)</f>
        <v/>
      </c>
      <c r="F5" s="10">
        <f>IF(E5&gt;D5,"Over limit","OK")</f>
        <v/>
      </c>
    </row>
    <row r="6">
      <c r="A6" s="7" t="inlineStr">
        <is>
          <t>C02</t>
        </is>
      </c>
      <c r="B6" s="7" t="inlineStr">
        <is>
          <t>Raja Hardware</t>
        </is>
      </c>
      <c r="C6" s="7" t="n">
        <v>45</v>
      </c>
      <c r="D6" s="8" t="n">
        <v>150000</v>
      </c>
      <c r="E6" s="9">
        <f>SUMIFS(Invoices!$J$5:$J$3000,Invoices!$C$5:$C$3000,A6)</f>
        <v/>
      </c>
      <c r="F6" s="10">
        <f>IF(E6&gt;D6,"Over limit","OK")</f>
        <v/>
      </c>
    </row>
    <row r="7">
      <c r="A7" s="7" t="inlineStr">
        <is>
          <t>C03</t>
        </is>
      </c>
      <c r="B7" s="7" t="inlineStr">
        <is>
          <t>Zoya Medicals</t>
        </is>
      </c>
      <c r="C7" s="7" t="n">
        <v>30</v>
      </c>
      <c r="D7" s="8" t="n">
        <v>80000</v>
      </c>
      <c r="E7" s="9">
        <f>SUMIFS(Invoices!$J$5:$J$3000,Invoices!$C$5:$C$3000,A7)</f>
        <v/>
      </c>
      <c r="F7" s="10">
        <f>IF(E7&gt;D7,"Over limit","OK")</f>
        <v/>
      </c>
    </row>
    <row r="8">
      <c r="A8" s="7" t="inlineStr">
        <is>
          <t>C04</t>
        </is>
      </c>
      <c r="B8" s="7" t="inlineStr">
        <is>
          <t>Amir General Stores</t>
        </is>
      </c>
      <c r="C8" s="7" t="n">
        <v>15</v>
      </c>
      <c r="D8" s="8" t="n">
        <v>50000</v>
      </c>
      <c r="E8" s="9">
        <f>SUMIFS(Invoices!$J$5:$J$3000,Invoices!$C$5:$C$3000,A8)</f>
        <v/>
      </c>
      <c r="F8" s="10">
        <f>IF(E8&gt;D8,"Over limit","OK")</f>
        <v/>
      </c>
    </row>
    <row r="9">
      <c r="A9" s="7" t="inlineStr">
        <is>
          <t>C05</t>
        </is>
      </c>
      <c r="B9" s="7" t="inlineStr">
        <is>
          <t>Salman Electricals</t>
        </is>
      </c>
      <c r="C9" s="7" t="n">
        <v>60</v>
      </c>
      <c r="D9" s="8" t="n">
        <v>200000</v>
      </c>
      <c r="E9" s="9">
        <f>SUMIFS(Invoices!$J$5:$J$3000,Invoices!$C$5:$C$3000,A9)</f>
        <v/>
      </c>
      <c r="F9" s="10">
        <f>IF(E9&gt;D9,"Over limit","OK")</f>
        <v/>
      </c>
    </row>
    <row r="10">
      <c r="A10" s="7" t="inlineStr">
        <is>
          <t>C06</t>
        </is>
      </c>
      <c r="B10" s="7" t="inlineStr">
        <is>
          <t>Rani Super Market</t>
        </is>
      </c>
      <c r="C10" s="7" t="n">
        <v>30</v>
      </c>
      <c r="D10" s="8" t="n">
        <v>120000</v>
      </c>
      <c r="E10" s="9">
        <f>SUMIFS(Invoices!$J$5:$J$3000,Invoices!$C$5:$C$3000,A10)</f>
        <v/>
      </c>
      <c r="F10" s="10">
        <f>IF(E10&gt;D10,"Over limit","OK")</f>
        <v/>
      </c>
    </row>
  </sheetData>
  <conditionalFormatting sqref="F5:F500">
    <cfRule type="cellIs" priority="1" operator="equal" dxfId="0">
      <formula>"Over limit"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0" customWidth="1" min="3" max="3"/>
    <col width="21" customWidth="1" min="4" max="4"/>
    <col width="11" customWidth="1" min="5" max="5"/>
    <col width="10" customWidth="1" min="6" max="6"/>
    <col width="11" customWidth="1" min="7" max="7"/>
    <col width="11" customWidth="1" min="8" max="8"/>
    <col width="11" customWidth="1" min="9" max="9"/>
    <col width="11" customWidth="1" min="10" max="10"/>
    <col width="9" customWidth="1" min="11" max="11"/>
    <col width="10" customWidth="1" min="12" max="12"/>
  </cols>
  <sheetData>
    <row r="1">
      <c r="A1" s="1" t="inlineStr">
        <is>
          <t>Sales invoices</t>
        </is>
      </c>
    </row>
    <row r="2">
      <c r="A2" s="2" t="inlineStr">
        <is>
          <t>One row per invoice. Due = date + credit days. Received comes from Receipts. Age bucket uses days past due.</t>
        </is>
      </c>
    </row>
    <row r="4">
      <c r="A4" s="6" t="inlineStr">
        <is>
          <t>Invoice no</t>
        </is>
      </c>
      <c r="B4" s="6" t="inlineStr">
        <is>
          <t>Date</t>
        </is>
      </c>
      <c r="C4" s="6" t="inlineStr">
        <is>
          <t>Customer ID</t>
        </is>
      </c>
      <c r="D4" s="6" t="inlineStr">
        <is>
          <t>Customer</t>
        </is>
      </c>
      <c r="E4" s="6" t="inlineStr">
        <is>
          <t>Taxable (₹)</t>
        </is>
      </c>
      <c r="F4" s="6" t="inlineStr">
        <is>
          <t>GST (₹)</t>
        </is>
      </c>
      <c r="G4" s="6" t="inlineStr">
        <is>
          <t>Total (₹)</t>
        </is>
      </c>
      <c r="H4" s="6" t="inlineStr">
        <is>
          <t>Due date</t>
        </is>
      </c>
      <c r="I4" s="6" t="inlineStr">
        <is>
          <t>Received (₹)</t>
        </is>
      </c>
      <c r="J4" s="6" t="inlineStr">
        <is>
          <t>Balance (₹)</t>
        </is>
      </c>
      <c r="K4" s="6" t="inlineStr">
        <is>
          <t>Days overdue</t>
        </is>
      </c>
      <c r="L4" s="6" t="inlineStr">
        <is>
          <t>Age bucket</t>
        </is>
      </c>
    </row>
    <row r="5">
      <c r="A5" s="10">
        <f>"INV-"&amp;TEXT(ROW()-4,"000")</f>
        <v/>
      </c>
      <c r="B5" s="4" t="n">
        <v>46183</v>
      </c>
      <c r="C5" s="7" t="inlineStr">
        <is>
          <t>C04</t>
        </is>
      </c>
      <c r="D5" s="10">
        <f>_xlfn.XLOOKUP(C5,Customers!$A$5:$A$500,Customers!$B$5:$B$500,"Check ID")</f>
        <v/>
      </c>
      <c r="E5" s="8" t="n">
        <v>15000</v>
      </c>
      <c r="F5" s="9">
        <f>ROUND(E5*Setup!$B$4,0)</f>
        <v/>
      </c>
      <c r="G5" s="9">
        <f>E5+F5</f>
        <v/>
      </c>
      <c r="H5" s="11">
        <f>B5+_xlfn.XLOOKUP(C5,Customers!$A$5:$A$500,Customers!$C$5:$C$500,0)</f>
        <v/>
      </c>
      <c r="I5" s="9">
        <f>SUMIFS(Receipts!$D$5:$D$5000,Receipts!$C$5:$C$5000,A5)</f>
        <v/>
      </c>
      <c r="J5" s="9">
        <f>G5-I5</f>
        <v/>
      </c>
      <c r="K5" s="10">
        <f>IF(J5&lt;=0,0,MAX(0,Setup!$B$3-H5))</f>
        <v/>
      </c>
      <c r="L5" s="10">
        <f>IF(J5&lt;=0,"Paid",IF(K5=0,"Not due",IF(K5&lt;=30,"1-30",IF(K5&lt;=60,"31-60",IF(K5&lt;=90,"61-90","Over 90")))))</f>
        <v/>
      </c>
    </row>
    <row r="6">
      <c r="A6" s="10">
        <f>"INV-"&amp;TEXT(ROW()-4,"000")</f>
        <v/>
      </c>
      <c r="B6" s="4" t="n">
        <v>46208</v>
      </c>
      <c r="C6" s="7" t="inlineStr">
        <is>
          <t>C01</t>
        </is>
      </c>
      <c r="D6" s="10">
        <f>_xlfn.XLOOKUP(C6,Customers!$A$5:$A$500,Customers!$B$5:$B$500,"Check ID")</f>
        <v/>
      </c>
      <c r="E6" s="8" t="n">
        <v>42000</v>
      </c>
      <c r="F6" s="9">
        <f>ROUND(E6*Setup!$B$4,0)</f>
        <v/>
      </c>
      <c r="G6" s="9">
        <f>E6+F6</f>
        <v/>
      </c>
      <c r="H6" s="11">
        <f>B6+_xlfn.XLOOKUP(C6,Customers!$A$5:$A$500,Customers!$C$5:$C$500,0)</f>
        <v/>
      </c>
      <c r="I6" s="9">
        <f>SUMIFS(Receipts!$D$5:$D$5000,Receipts!$C$5:$C$5000,A6)</f>
        <v/>
      </c>
      <c r="J6" s="9">
        <f>G6-I6</f>
        <v/>
      </c>
      <c r="K6" s="10">
        <f>IF(J6&lt;=0,0,MAX(0,Setup!$B$3-H6))</f>
        <v/>
      </c>
      <c r="L6" s="10">
        <f>IF(J6&lt;=0,"Paid",IF(K6=0,"Not due",IF(K6&lt;=30,"1-30",IF(K6&lt;=60,"31-60",IF(K6&lt;=90,"61-90","Over 90")))))</f>
        <v/>
      </c>
    </row>
    <row r="7">
      <c r="A7" s="10">
        <f>"INV-"&amp;TEXT(ROW()-4,"000")</f>
        <v/>
      </c>
      <c r="B7" s="4" t="n">
        <v>46215</v>
      </c>
      <c r="C7" s="7" t="inlineStr">
        <is>
          <t>C05</t>
        </is>
      </c>
      <c r="D7" s="10">
        <f>_xlfn.XLOOKUP(C7,Customers!$A$5:$A$500,Customers!$B$5:$B$500,"Check ID")</f>
        <v/>
      </c>
      <c r="E7" s="8" t="n">
        <v>96000</v>
      </c>
      <c r="F7" s="9">
        <f>ROUND(E7*Setup!$B$4,0)</f>
        <v/>
      </c>
      <c r="G7" s="9">
        <f>E7+F7</f>
        <v/>
      </c>
      <c r="H7" s="11">
        <f>B7+_xlfn.XLOOKUP(C7,Customers!$A$5:$A$500,Customers!$C$5:$C$500,0)</f>
        <v/>
      </c>
      <c r="I7" s="9">
        <f>SUMIFS(Receipts!$D$5:$D$5000,Receipts!$C$5:$C$5000,A7)</f>
        <v/>
      </c>
      <c r="J7" s="9">
        <f>G7-I7</f>
        <v/>
      </c>
      <c r="K7" s="10">
        <f>IF(J7&lt;=0,0,MAX(0,Setup!$B$3-H7))</f>
        <v/>
      </c>
      <c r="L7" s="10">
        <f>IF(J7&lt;=0,"Paid",IF(K7=0,"Not due",IF(K7&lt;=30,"1-30",IF(K7&lt;=60,"31-60",IF(K7&lt;=90,"61-90","Over 90")))))</f>
        <v/>
      </c>
    </row>
    <row r="8">
      <c r="A8" s="10">
        <f>"INV-"&amp;TEXT(ROW()-4,"000")</f>
        <v/>
      </c>
      <c r="B8" s="4" t="n">
        <v>46223</v>
      </c>
      <c r="C8" s="7" t="inlineStr">
        <is>
          <t>C02</t>
        </is>
      </c>
      <c r="D8" s="10">
        <f>_xlfn.XLOOKUP(C8,Customers!$A$5:$A$500,Customers!$B$5:$B$500,"Check ID")</f>
        <v/>
      </c>
      <c r="E8" s="8" t="n">
        <v>58000</v>
      </c>
      <c r="F8" s="9">
        <f>ROUND(E8*Setup!$B$4,0)</f>
        <v/>
      </c>
      <c r="G8" s="9">
        <f>E8+F8</f>
        <v/>
      </c>
      <c r="H8" s="11">
        <f>B8+_xlfn.XLOOKUP(C8,Customers!$A$5:$A$500,Customers!$C$5:$C$500,0)</f>
        <v/>
      </c>
      <c r="I8" s="9">
        <f>SUMIFS(Receipts!$D$5:$D$5000,Receipts!$C$5:$C$5000,A8)</f>
        <v/>
      </c>
      <c r="J8" s="9">
        <f>G8-I8</f>
        <v/>
      </c>
      <c r="K8" s="10">
        <f>IF(J8&lt;=0,0,MAX(0,Setup!$B$3-H8))</f>
        <v/>
      </c>
      <c r="L8" s="10">
        <f>IF(J8&lt;=0,"Paid",IF(K8=0,"Not due",IF(K8&lt;=30,"1-30",IF(K8&lt;=60,"31-60",IF(K8&lt;=90,"61-90","Over 90")))))</f>
        <v/>
      </c>
    </row>
    <row r="9">
      <c r="A9" s="10">
        <f>"INV-"&amp;TEXT(ROW()-4,"000")</f>
        <v/>
      </c>
      <c r="B9" s="4" t="n">
        <v>46236</v>
      </c>
      <c r="C9" s="7" t="inlineStr">
        <is>
          <t>C03</t>
        </is>
      </c>
      <c r="D9" s="10">
        <f>_xlfn.XLOOKUP(C9,Customers!$A$5:$A$500,Customers!$B$5:$B$500,"Check ID")</f>
        <v/>
      </c>
      <c r="E9" s="8" t="n">
        <v>31000</v>
      </c>
      <c r="F9" s="9">
        <f>ROUND(E9*Setup!$B$4,0)</f>
        <v/>
      </c>
      <c r="G9" s="9">
        <f>E9+F9</f>
        <v/>
      </c>
      <c r="H9" s="11">
        <f>B9+_xlfn.XLOOKUP(C9,Customers!$A$5:$A$500,Customers!$C$5:$C$500,0)</f>
        <v/>
      </c>
      <c r="I9" s="9">
        <f>SUMIFS(Receipts!$D$5:$D$5000,Receipts!$C$5:$C$5000,A9)</f>
        <v/>
      </c>
      <c r="J9" s="9">
        <f>G9-I9</f>
        <v/>
      </c>
      <c r="K9" s="10">
        <f>IF(J9&lt;=0,0,MAX(0,Setup!$B$3-H9))</f>
        <v/>
      </c>
      <c r="L9" s="10">
        <f>IF(J9&lt;=0,"Paid",IF(K9=0,"Not due",IF(K9&lt;=30,"1-30",IF(K9&lt;=60,"31-60",IF(K9&lt;=90,"61-90","Over 90")))))</f>
        <v/>
      </c>
    </row>
    <row r="10">
      <c r="A10" s="10">
        <f>"INV-"&amp;TEXT(ROW()-4,"000")</f>
        <v/>
      </c>
      <c r="B10" s="4" t="n">
        <v>46242</v>
      </c>
      <c r="C10" s="7" t="inlineStr">
        <is>
          <t>C06</t>
        </is>
      </c>
      <c r="D10" s="10">
        <f>_xlfn.XLOOKUP(C10,Customers!$A$5:$A$500,Customers!$B$5:$B$500,"Check ID")</f>
        <v/>
      </c>
      <c r="E10" s="8" t="n">
        <v>64000</v>
      </c>
      <c r="F10" s="9">
        <f>ROUND(E10*Setup!$B$4,0)</f>
        <v/>
      </c>
      <c r="G10" s="9">
        <f>E10+F10</f>
        <v/>
      </c>
      <c r="H10" s="11">
        <f>B10+_xlfn.XLOOKUP(C10,Customers!$A$5:$A$500,Customers!$C$5:$C$500,0)</f>
        <v/>
      </c>
      <c r="I10" s="9">
        <f>SUMIFS(Receipts!$D$5:$D$5000,Receipts!$C$5:$C$5000,A10)</f>
        <v/>
      </c>
      <c r="J10" s="9">
        <f>G10-I10</f>
        <v/>
      </c>
      <c r="K10" s="10">
        <f>IF(J10&lt;=0,0,MAX(0,Setup!$B$3-H10))</f>
        <v/>
      </c>
      <c r="L10" s="10">
        <f>IF(J10&lt;=0,"Paid",IF(K10=0,"Not due",IF(K10&lt;=30,"1-30",IF(K10&lt;=60,"31-60",IF(K10&lt;=90,"61-90","Over 90")))))</f>
        <v/>
      </c>
    </row>
    <row r="11">
      <c r="A11" s="10">
        <f>"INV-"&amp;TEXT(ROW()-4,"000")</f>
        <v/>
      </c>
      <c r="B11" s="4" t="n">
        <v>46248</v>
      </c>
      <c r="C11" s="7" t="inlineStr">
        <is>
          <t>C04</t>
        </is>
      </c>
      <c r="D11" s="10">
        <f>_xlfn.XLOOKUP(C11,Customers!$A$5:$A$500,Customers!$B$5:$B$500,"Check ID")</f>
        <v/>
      </c>
      <c r="E11" s="8" t="n">
        <v>22000</v>
      </c>
      <c r="F11" s="9">
        <f>ROUND(E11*Setup!$B$4,0)</f>
        <v/>
      </c>
      <c r="G11" s="9">
        <f>E11+F11</f>
        <v/>
      </c>
      <c r="H11" s="11">
        <f>B11+_xlfn.XLOOKUP(C11,Customers!$A$5:$A$500,Customers!$C$5:$C$500,0)</f>
        <v/>
      </c>
      <c r="I11" s="9">
        <f>SUMIFS(Receipts!$D$5:$D$5000,Receipts!$C$5:$C$5000,A11)</f>
        <v/>
      </c>
      <c r="J11" s="9">
        <f>G11-I11</f>
        <v/>
      </c>
      <c r="K11" s="10">
        <f>IF(J11&lt;=0,0,MAX(0,Setup!$B$3-H11))</f>
        <v/>
      </c>
      <c r="L11" s="10">
        <f>IF(J11&lt;=0,"Paid",IF(K11=0,"Not due",IF(K11&lt;=30,"1-30",IF(K11&lt;=60,"31-60",IF(K11&lt;=90,"61-90","Over 90")))))</f>
        <v/>
      </c>
    </row>
    <row r="12">
      <c r="A12" s="10">
        <f>"INV-"&amp;TEXT(ROW()-4,"000")</f>
        <v/>
      </c>
      <c r="B12" s="4" t="n">
        <v>46256</v>
      </c>
      <c r="C12" s="7" t="inlineStr">
        <is>
          <t>C05</t>
        </is>
      </c>
      <c r="D12" s="10">
        <f>_xlfn.XLOOKUP(C12,Customers!$A$5:$A$500,Customers!$B$5:$B$500,"Check ID")</f>
        <v/>
      </c>
      <c r="E12" s="8" t="n">
        <v>88000</v>
      </c>
      <c r="F12" s="9">
        <f>ROUND(E12*Setup!$B$4,0)</f>
        <v/>
      </c>
      <c r="G12" s="9">
        <f>E12+F12</f>
        <v/>
      </c>
      <c r="H12" s="11">
        <f>B12+_xlfn.XLOOKUP(C12,Customers!$A$5:$A$500,Customers!$C$5:$C$500,0)</f>
        <v/>
      </c>
      <c r="I12" s="9">
        <f>SUMIFS(Receipts!$D$5:$D$5000,Receipts!$C$5:$C$5000,A12)</f>
        <v/>
      </c>
      <c r="J12" s="9">
        <f>G12-I12</f>
        <v/>
      </c>
      <c r="K12" s="10">
        <f>IF(J12&lt;=0,0,MAX(0,Setup!$B$3-H12))</f>
        <v/>
      </c>
      <c r="L12" s="10">
        <f>IF(J12&lt;=0,"Paid",IF(K12=0,"Not due",IF(K12&lt;=30,"1-30",IF(K12&lt;=60,"31-60",IF(K12&lt;=90,"61-90","Over 90")))))</f>
        <v/>
      </c>
    </row>
    <row r="13">
      <c r="A13" s="10">
        <f>"INV-"&amp;TEXT(ROW()-4,"000")</f>
        <v/>
      </c>
      <c r="B13" s="4" t="n">
        <v>46262</v>
      </c>
      <c r="C13" s="7" t="inlineStr">
        <is>
          <t>C01</t>
        </is>
      </c>
      <c r="D13" s="10">
        <f>_xlfn.XLOOKUP(C13,Customers!$A$5:$A$500,Customers!$B$5:$B$500,"Check ID")</f>
        <v/>
      </c>
      <c r="E13" s="8" t="n">
        <v>36000</v>
      </c>
      <c r="F13" s="9">
        <f>ROUND(E13*Setup!$B$4,0)</f>
        <v/>
      </c>
      <c r="G13" s="9">
        <f>E13+F13</f>
        <v/>
      </c>
      <c r="H13" s="11">
        <f>B13+_xlfn.XLOOKUP(C13,Customers!$A$5:$A$500,Customers!$C$5:$C$500,0)</f>
        <v/>
      </c>
      <c r="I13" s="9">
        <f>SUMIFS(Receipts!$D$5:$D$5000,Receipts!$C$5:$C$5000,A13)</f>
        <v/>
      </c>
      <c r="J13" s="9">
        <f>G13-I13</f>
        <v/>
      </c>
      <c r="K13" s="10">
        <f>IF(J13&lt;=0,0,MAX(0,Setup!$B$3-H13))</f>
        <v/>
      </c>
      <c r="L13" s="10">
        <f>IF(J13&lt;=0,"Paid",IF(K13=0,"Not due",IF(K13&lt;=30,"1-30",IF(K13&lt;=60,"31-60",IF(K13&lt;=90,"61-90","Over 90")))))</f>
        <v/>
      </c>
    </row>
    <row r="14">
      <c r="A14" s="10">
        <f>"INV-"&amp;TEXT(ROW()-4,"000")</f>
        <v/>
      </c>
      <c r="B14" s="4" t="n">
        <v>46270</v>
      </c>
      <c r="C14" s="7" t="inlineStr">
        <is>
          <t>C02</t>
        </is>
      </c>
      <c r="D14" s="10">
        <f>_xlfn.XLOOKUP(C14,Customers!$A$5:$A$500,Customers!$B$5:$B$500,"Check ID")</f>
        <v/>
      </c>
      <c r="E14" s="8" t="n">
        <v>72000</v>
      </c>
      <c r="F14" s="9">
        <f>ROUND(E14*Setup!$B$4,0)</f>
        <v/>
      </c>
      <c r="G14" s="9">
        <f>E14+F14</f>
        <v/>
      </c>
      <c r="H14" s="11">
        <f>B14+_xlfn.XLOOKUP(C14,Customers!$A$5:$A$500,Customers!$C$5:$C$500,0)</f>
        <v/>
      </c>
      <c r="I14" s="9">
        <f>SUMIFS(Receipts!$D$5:$D$5000,Receipts!$C$5:$C$5000,A14)</f>
        <v/>
      </c>
      <c r="J14" s="9">
        <f>G14-I14</f>
        <v/>
      </c>
      <c r="K14" s="10">
        <f>IF(J14&lt;=0,0,MAX(0,Setup!$B$3-H14))</f>
        <v/>
      </c>
      <c r="L14" s="10">
        <f>IF(J14&lt;=0,"Paid",IF(K14=0,"Not due",IF(K14&lt;=30,"1-30",IF(K14&lt;=60,"31-60",IF(K14&lt;=90,"61-90","Over 90")))))</f>
        <v/>
      </c>
    </row>
    <row r="15">
      <c r="A15" s="10">
        <f>"INV-"&amp;TEXT(ROW()-4,"000")</f>
        <v/>
      </c>
      <c r="B15" s="4" t="n">
        <v>46275</v>
      </c>
      <c r="C15" s="7" t="inlineStr">
        <is>
          <t>C03</t>
        </is>
      </c>
      <c r="D15" s="10">
        <f>_xlfn.XLOOKUP(C15,Customers!$A$5:$A$500,Customers!$B$5:$B$500,"Check ID")</f>
        <v/>
      </c>
      <c r="E15" s="8" t="n">
        <v>28000</v>
      </c>
      <c r="F15" s="9">
        <f>ROUND(E15*Setup!$B$4,0)</f>
        <v/>
      </c>
      <c r="G15" s="9">
        <f>E15+F15</f>
        <v/>
      </c>
      <c r="H15" s="11">
        <f>B15+_xlfn.XLOOKUP(C15,Customers!$A$5:$A$500,Customers!$C$5:$C$500,0)</f>
        <v/>
      </c>
      <c r="I15" s="9">
        <f>SUMIFS(Receipts!$D$5:$D$5000,Receipts!$C$5:$C$5000,A15)</f>
        <v/>
      </c>
      <c r="J15" s="9">
        <f>G15-I15</f>
        <v/>
      </c>
      <c r="K15" s="10">
        <f>IF(J15&lt;=0,0,MAX(0,Setup!$B$3-H15))</f>
        <v/>
      </c>
      <c r="L15" s="10">
        <f>IF(J15&lt;=0,"Paid",IF(K15=0,"Not due",IF(K15&lt;=30,"1-30",IF(K15&lt;=60,"31-60",IF(K15&lt;=90,"61-90","Over 90")))))</f>
        <v/>
      </c>
    </row>
    <row r="16">
      <c r="A16" s="10">
        <f>"INV-"&amp;TEXT(ROW()-4,"000")</f>
        <v/>
      </c>
      <c r="B16" s="4" t="n">
        <v>46281</v>
      </c>
      <c r="C16" s="7" t="inlineStr">
        <is>
          <t>C06</t>
        </is>
      </c>
      <c r="D16" s="10">
        <f>_xlfn.XLOOKUP(C16,Customers!$A$5:$A$500,Customers!$B$5:$B$500,"Check ID")</f>
        <v/>
      </c>
      <c r="E16" s="8" t="n">
        <v>54000</v>
      </c>
      <c r="F16" s="9">
        <f>ROUND(E16*Setup!$B$4,0)</f>
        <v/>
      </c>
      <c r="G16" s="9">
        <f>E16+F16</f>
        <v/>
      </c>
      <c r="H16" s="11">
        <f>B16+_xlfn.XLOOKUP(C16,Customers!$A$5:$A$500,Customers!$C$5:$C$500,0)</f>
        <v/>
      </c>
      <c r="I16" s="9">
        <f>SUMIFS(Receipts!$D$5:$D$5000,Receipts!$C$5:$C$5000,A16)</f>
        <v/>
      </c>
      <c r="J16" s="9">
        <f>G16-I16</f>
        <v/>
      </c>
      <c r="K16" s="10">
        <f>IF(J16&lt;=0,0,MAX(0,Setup!$B$3-H16))</f>
        <v/>
      </c>
      <c r="L16" s="10">
        <f>IF(J16&lt;=0,"Paid",IF(K16=0,"Not due",IF(K16&lt;=30,"1-30",IF(K16&lt;=60,"31-60",IF(K16&lt;=90,"61-90","Over 90")))))</f>
        <v/>
      </c>
    </row>
    <row r="17">
      <c r="A17" s="10">
        <f>"INV-"&amp;TEXT(ROW()-4,"000")</f>
        <v/>
      </c>
      <c r="B17" s="4" t="n">
        <v>46285</v>
      </c>
      <c r="C17" s="7" t="inlineStr">
        <is>
          <t>C04</t>
        </is>
      </c>
      <c r="D17" s="10">
        <f>_xlfn.XLOOKUP(C17,Customers!$A$5:$A$500,Customers!$B$5:$B$500,"Check ID")</f>
        <v/>
      </c>
      <c r="E17" s="8" t="n">
        <v>18000</v>
      </c>
      <c r="F17" s="9">
        <f>ROUND(E17*Setup!$B$4,0)</f>
        <v/>
      </c>
      <c r="G17" s="9">
        <f>E17+F17</f>
        <v/>
      </c>
      <c r="H17" s="11">
        <f>B17+_xlfn.XLOOKUP(C17,Customers!$A$5:$A$500,Customers!$C$5:$C$500,0)</f>
        <v/>
      </c>
      <c r="I17" s="9">
        <f>SUMIFS(Receipts!$D$5:$D$5000,Receipts!$C$5:$C$5000,A17)</f>
        <v/>
      </c>
      <c r="J17" s="9">
        <f>G17-I17</f>
        <v/>
      </c>
      <c r="K17" s="10">
        <f>IF(J17&lt;=0,0,MAX(0,Setup!$B$3-H17))</f>
        <v/>
      </c>
      <c r="L17" s="10">
        <f>IF(J17&lt;=0,"Paid",IF(K17=0,"Not due",IF(K17&lt;=30,"1-30",IF(K17&lt;=60,"31-60",IF(K17&lt;=90,"61-90","Over 90")))))</f>
        <v/>
      </c>
    </row>
    <row r="18">
      <c r="A18" s="10">
        <f>"INV-"&amp;TEXT(ROW()-4,"000")</f>
        <v/>
      </c>
      <c r="B18" s="4" t="n">
        <v>46291</v>
      </c>
      <c r="C18" s="7" t="inlineStr">
        <is>
          <t>C05</t>
        </is>
      </c>
      <c r="D18" s="10">
        <f>_xlfn.XLOOKUP(C18,Customers!$A$5:$A$500,Customers!$B$5:$B$500,"Check ID")</f>
        <v/>
      </c>
      <c r="E18" s="8" t="n">
        <v>64000</v>
      </c>
      <c r="F18" s="9">
        <f>ROUND(E18*Setup!$B$4,0)</f>
        <v/>
      </c>
      <c r="G18" s="9">
        <f>E18+F18</f>
        <v/>
      </c>
      <c r="H18" s="11">
        <f>B18+_xlfn.XLOOKUP(C18,Customers!$A$5:$A$500,Customers!$C$5:$C$500,0)</f>
        <v/>
      </c>
      <c r="I18" s="9">
        <f>SUMIFS(Receipts!$D$5:$D$5000,Receipts!$C$5:$C$5000,A18)</f>
        <v/>
      </c>
      <c r="J18" s="9">
        <f>G18-I18</f>
        <v/>
      </c>
      <c r="K18" s="10">
        <f>IF(J18&lt;=0,0,MAX(0,Setup!$B$3-H18))</f>
        <v/>
      </c>
      <c r="L18" s="10">
        <f>IF(J18&lt;=0,"Paid",IF(K18=0,"Not due",IF(K18&lt;=30,"1-30",IF(K18&lt;=60,"31-60",IF(K18&lt;=90,"61-90","Over 90")))))</f>
        <v/>
      </c>
    </row>
    <row r="19">
      <c r="A19" s="10">
        <f>"INV-"&amp;TEXT(ROW()-4,"000")</f>
        <v/>
      </c>
      <c r="B19" s="4" t="n">
        <v>46297</v>
      </c>
      <c r="C19" s="7" t="inlineStr">
        <is>
          <t>C01</t>
        </is>
      </c>
      <c r="D19" s="10">
        <f>_xlfn.XLOOKUP(C19,Customers!$A$5:$A$500,Customers!$B$5:$B$500,"Check ID")</f>
        <v/>
      </c>
      <c r="E19" s="8" t="n">
        <v>39000</v>
      </c>
      <c r="F19" s="9">
        <f>ROUND(E19*Setup!$B$4,0)</f>
        <v/>
      </c>
      <c r="G19" s="9">
        <f>E19+F19</f>
        <v/>
      </c>
      <c r="H19" s="11">
        <f>B19+_xlfn.XLOOKUP(C19,Customers!$A$5:$A$500,Customers!$C$5:$C$500,0)</f>
        <v/>
      </c>
      <c r="I19" s="9">
        <f>SUMIFS(Receipts!$D$5:$D$5000,Receipts!$C$5:$C$5000,A19)</f>
        <v/>
      </c>
      <c r="J19" s="9">
        <f>G19-I19</f>
        <v/>
      </c>
      <c r="K19" s="10">
        <f>IF(J19&lt;=0,0,MAX(0,Setup!$B$3-H19))</f>
        <v/>
      </c>
      <c r="L19" s="10">
        <f>IF(J19&lt;=0,"Paid",IF(K19=0,"Not due",IF(K19&lt;=30,"1-30",IF(K19&lt;=60,"31-60",IF(K19&lt;=90,"61-90","Over 90")))))</f>
        <v/>
      </c>
    </row>
    <row r="20">
      <c r="A20" s="10">
        <f>"INV-"&amp;TEXT(ROW()-4,"000")</f>
        <v/>
      </c>
      <c r="B20" s="4" t="n">
        <v>46301</v>
      </c>
      <c r="C20" s="7" t="inlineStr">
        <is>
          <t>C02</t>
        </is>
      </c>
      <c r="D20" s="10">
        <f>_xlfn.XLOOKUP(C20,Customers!$A$5:$A$500,Customers!$B$5:$B$500,"Check ID")</f>
        <v/>
      </c>
      <c r="E20" s="8" t="n">
        <v>46000</v>
      </c>
      <c r="F20" s="9">
        <f>ROUND(E20*Setup!$B$4,0)</f>
        <v/>
      </c>
      <c r="G20" s="9">
        <f>E20+F20</f>
        <v/>
      </c>
      <c r="H20" s="11">
        <f>B20+_xlfn.XLOOKUP(C20,Customers!$A$5:$A$500,Customers!$C$5:$C$500,0)</f>
        <v/>
      </c>
      <c r="I20" s="9">
        <f>SUMIFS(Receipts!$D$5:$D$5000,Receipts!$C$5:$C$5000,A20)</f>
        <v/>
      </c>
      <c r="J20" s="9">
        <f>G20-I20</f>
        <v/>
      </c>
      <c r="K20" s="10">
        <f>IF(J20&lt;=0,0,MAX(0,Setup!$B$3-H20))</f>
        <v/>
      </c>
      <c r="L20" s="10">
        <f>IF(J20&lt;=0,"Paid",IF(K20=0,"Not due",IF(K20&lt;=30,"1-30",IF(K20&lt;=60,"31-60",IF(K20&lt;=90,"61-90","Over 90")))))</f>
        <v/>
      </c>
    </row>
    <row r="21">
      <c r="A21" s="10">
        <f>"INV-"&amp;TEXT(ROW()-4,"000")</f>
        <v/>
      </c>
      <c r="B21" s="4" t="n">
        <v>46304</v>
      </c>
      <c r="C21" s="7" t="inlineStr">
        <is>
          <t>C06</t>
        </is>
      </c>
      <c r="D21" s="10">
        <f>_xlfn.XLOOKUP(C21,Customers!$A$5:$A$500,Customers!$B$5:$B$500,"Check ID")</f>
        <v/>
      </c>
      <c r="E21" s="8" t="n">
        <v>58000</v>
      </c>
      <c r="F21" s="9">
        <f>ROUND(E21*Setup!$B$4,0)</f>
        <v/>
      </c>
      <c r="G21" s="9">
        <f>E21+F21</f>
        <v/>
      </c>
      <c r="H21" s="11">
        <f>B21+_xlfn.XLOOKUP(C21,Customers!$A$5:$A$500,Customers!$C$5:$C$500,0)</f>
        <v/>
      </c>
      <c r="I21" s="9">
        <f>SUMIFS(Receipts!$D$5:$D$5000,Receipts!$C$5:$C$5000,A21)</f>
        <v/>
      </c>
      <c r="J21" s="9">
        <f>G21-I21</f>
        <v/>
      </c>
      <c r="K21" s="10">
        <f>IF(J21&lt;=0,0,MAX(0,Setup!$B$3-H21))</f>
        <v/>
      </c>
      <c r="L21" s="10">
        <f>IF(J21&lt;=0,"Paid",IF(K21=0,"Not due",IF(K21&lt;=30,"1-30",IF(K21&lt;=60,"31-60",IF(K21&lt;=90,"61-90","Over 90")))))</f>
        <v/>
      </c>
    </row>
    <row r="22">
      <c r="A22" s="10">
        <f>"INV-"&amp;TEXT(ROW()-4,"000")</f>
        <v/>
      </c>
      <c r="B22" s="4" t="n">
        <v>46308</v>
      </c>
      <c r="C22" s="7" t="inlineStr">
        <is>
          <t>C03</t>
        </is>
      </c>
      <c r="D22" s="10">
        <f>_xlfn.XLOOKUP(C22,Customers!$A$5:$A$500,Customers!$B$5:$B$500,"Check ID")</f>
        <v/>
      </c>
      <c r="E22" s="8" t="n">
        <v>25000</v>
      </c>
      <c r="F22" s="9">
        <f>ROUND(E22*Setup!$B$4,0)</f>
        <v/>
      </c>
      <c r="G22" s="9">
        <f>E22+F22</f>
        <v/>
      </c>
      <c r="H22" s="11">
        <f>B22+_xlfn.XLOOKUP(C22,Customers!$A$5:$A$500,Customers!$C$5:$C$500,0)</f>
        <v/>
      </c>
      <c r="I22" s="9">
        <f>SUMIFS(Receipts!$D$5:$D$5000,Receipts!$C$5:$C$5000,A22)</f>
        <v/>
      </c>
      <c r="J22" s="9">
        <f>G22-I22</f>
        <v/>
      </c>
      <c r="K22" s="10">
        <f>IF(J22&lt;=0,0,MAX(0,Setup!$B$3-H22))</f>
        <v/>
      </c>
      <c r="L22" s="10">
        <f>IF(J22&lt;=0,"Paid",IF(K22=0,"Not due",IF(K22&lt;=30,"1-30",IF(K22&lt;=60,"31-60",IF(K22&lt;=90,"61-90","Over 90")))))</f>
        <v/>
      </c>
    </row>
    <row r="23">
      <c r="A23" s="10">
        <f>"INV-"&amp;TEXT(ROW()-4,"000")</f>
        <v/>
      </c>
      <c r="B23" s="4" t="n">
        <v>46310</v>
      </c>
      <c r="C23" s="7" t="inlineStr">
        <is>
          <t>C05</t>
        </is>
      </c>
      <c r="D23" s="10">
        <f>_xlfn.XLOOKUP(C23,Customers!$A$5:$A$500,Customers!$B$5:$B$500,"Check ID")</f>
        <v/>
      </c>
      <c r="E23" s="8" t="n">
        <v>42000</v>
      </c>
      <c r="F23" s="9">
        <f>ROUND(E23*Setup!$B$4,0)</f>
        <v/>
      </c>
      <c r="G23" s="9">
        <f>E23+F23</f>
        <v/>
      </c>
      <c r="H23" s="11">
        <f>B23+_xlfn.XLOOKUP(C23,Customers!$A$5:$A$500,Customers!$C$5:$C$500,0)</f>
        <v/>
      </c>
      <c r="I23" s="9">
        <f>SUMIFS(Receipts!$D$5:$D$5000,Receipts!$C$5:$C$5000,A23)</f>
        <v/>
      </c>
      <c r="J23" s="9">
        <f>G23-I23</f>
        <v/>
      </c>
      <c r="K23" s="10">
        <f>IF(J23&lt;=0,0,MAX(0,Setup!$B$3-H23))</f>
        <v/>
      </c>
      <c r="L23" s="10">
        <f>IF(J23&lt;=0,"Paid",IF(K23=0,"Not due",IF(K23&lt;=30,"1-30",IF(K23&lt;=60,"31-60",IF(K23&lt;=90,"61-90","Over 90")))))</f>
        <v/>
      </c>
    </row>
  </sheetData>
  <conditionalFormatting sqref="L5:L3000">
    <cfRule type="cellIs" priority="1" operator="equal" dxfId="0">
      <formula>"Over 90"</formula>
    </cfRule>
    <cfRule type="cellIs" priority="2" operator="equal" dxfId="1">
      <formula>"61-90"</formula>
    </cfRule>
  </conditionalFormatting>
  <dataValidations count="1">
    <dataValidation sqref="C5:C3000" showDropDown="0" showInputMessage="0" showErrorMessage="1" allowBlank="1" errorTitle="Not in the list" error="Pick a value from the list" type="list">
      <formula1>=Customers!$A$5:$A$500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1" customWidth="1" min="4" max="4"/>
    <col width="22" customWidth="1" min="5" max="5"/>
  </cols>
  <sheetData>
    <row r="1">
      <c r="A1" s="1" t="inlineStr">
        <is>
          <t>Receipts</t>
        </is>
      </c>
    </row>
    <row r="2">
      <c r="A2" s="2" t="inlineStr">
        <is>
          <t>One row per payment received, against an invoice.</t>
        </is>
      </c>
    </row>
    <row r="4">
      <c r="A4" s="6" t="inlineStr">
        <is>
          <t>Receipt no</t>
        </is>
      </c>
      <c r="B4" s="6" t="inlineStr">
        <is>
          <t>Date</t>
        </is>
      </c>
      <c r="C4" s="6" t="inlineStr">
        <is>
          <t>Invoice no</t>
        </is>
      </c>
      <c r="D4" s="6" t="inlineStr">
        <is>
          <t>Amount (₹)</t>
        </is>
      </c>
      <c r="E4" s="6" t="inlineStr">
        <is>
          <t>Customer</t>
        </is>
      </c>
    </row>
    <row r="5">
      <c r="A5" s="10">
        <f>"RV-"&amp;TEXT(ROW()-4,"000")</f>
        <v/>
      </c>
      <c r="B5" s="4" t="n">
        <v>46223</v>
      </c>
      <c r="C5" s="7" t="inlineStr">
        <is>
          <t>INV-001</t>
        </is>
      </c>
      <c r="D5" s="8" t="n">
        <v>5000</v>
      </c>
      <c r="E5" s="10">
        <f>_xlfn.XLOOKUP(_xlfn.XLOOKUP(C5,Invoices!$A$5:$A$3000,Invoices!$C$5:$C$3000,""),Customers!$A$5:$A$500,Customers!$B$5:$B$500,"Check invoice")</f>
        <v/>
      </c>
    </row>
    <row r="6">
      <c r="A6" s="10">
        <f>"RV-"&amp;TEXT(ROW()-4,"000")</f>
        <v/>
      </c>
      <c r="B6" s="4" t="n">
        <v>46235</v>
      </c>
      <c r="C6" s="7" t="inlineStr">
        <is>
          <t>INV-002</t>
        </is>
      </c>
      <c r="D6" s="8" t="n">
        <v>30000</v>
      </c>
      <c r="E6" s="10">
        <f>_xlfn.XLOOKUP(_xlfn.XLOOKUP(C6,Invoices!$A$5:$A$3000,Invoices!$C$5:$C$3000,""),Customers!$A$5:$A$500,Customers!$B$5:$B$500,"Check invoice")</f>
        <v/>
      </c>
    </row>
    <row r="7">
      <c r="A7" s="10">
        <f>"RV-"&amp;TEXT(ROW()-4,"000")</f>
        <v/>
      </c>
      <c r="B7" s="4" t="n">
        <v>46275</v>
      </c>
      <c r="C7" s="7" t="inlineStr">
        <is>
          <t>INV-003</t>
        </is>
      </c>
      <c r="D7" s="8" t="n">
        <v>60000</v>
      </c>
      <c r="E7" s="10">
        <f>_xlfn.XLOOKUP(_xlfn.XLOOKUP(C7,Invoices!$A$5:$A$3000,Invoices!$C$5:$C$3000,""),Customers!$A$5:$A$500,Customers!$B$5:$B$500,"Check invoice")</f>
        <v/>
      </c>
    </row>
    <row r="8">
      <c r="A8" s="10">
        <f>"RV-"&amp;TEXT(ROW()-4,"000")</f>
        <v/>
      </c>
      <c r="B8" s="4" t="n">
        <v>46262</v>
      </c>
      <c r="C8" s="7" t="inlineStr">
        <is>
          <t>INV-004</t>
        </is>
      </c>
      <c r="D8" s="8" t="n">
        <v>40000</v>
      </c>
      <c r="E8" s="10">
        <f>_xlfn.XLOOKUP(_xlfn.XLOOKUP(C8,Invoices!$A$5:$A$3000,Invoices!$C$5:$C$3000,""),Customers!$A$5:$A$500,Customers!$B$5:$B$500,"Check invoice")</f>
        <v/>
      </c>
    </row>
    <row r="9">
      <c r="A9" s="10">
        <f>"RV-"&amp;TEXT(ROW()-4,"000")</f>
        <v/>
      </c>
      <c r="B9" s="4" t="n">
        <v>46270</v>
      </c>
      <c r="C9" s="7" t="inlineStr">
        <is>
          <t>INV-005</t>
        </is>
      </c>
      <c r="D9" s="8" t="n">
        <v>36580</v>
      </c>
      <c r="E9" s="10">
        <f>_xlfn.XLOOKUP(_xlfn.XLOOKUP(C9,Invoices!$A$5:$A$3000,Invoices!$C$5:$C$3000,""),Customers!$A$5:$A$500,Customers!$B$5:$B$500,"Check invoice")</f>
        <v/>
      </c>
    </row>
    <row r="10">
      <c r="A10" s="10">
        <f>"RV-"&amp;TEXT(ROW()-4,"000")</f>
        <v/>
      </c>
      <c r="B10" s="4" t="n">
        <v>46295</v>
      </c>
      <c r="C10" s="7" t="inlineStr">
        <is>
          <t>INV-006</t>
        </is>
      </c>
      <c r="D10" s="8" t="n">
        <v>40000</v>
      </c>
      <c r="E10" s="10">
        <f>_xlfn.XLOOKUP(_xlfn.XLOOKUP(C10,Invoices!$A$5:$A$3000,Invoices!$C$5:$C$3000,""),Customers!$A$5:$A$500,Customers!$B$5:$B$500,"Check invoice")</f>
        <v/>
      </c>
    </row>
    <row r="11">
      <c r="A11" s="10">
        <f>"RV-"&amp;TEXT(ROW()-4,"000")</f>
        <v/>
      </c>
      <c r="B11" s="4" t="n">
        <v>46266</v>
      </c>
      <c r="C11" s="7" t="inlineStr">
        <is>
          <t>INV-007</t>
        </is>
      </c>
      <c r="D11" s="8" t="n">
        <v>25960</v>
      </c>
      <c r="E11" s="10">
        <f>_xlfn.XLOOKUP(_xlfn.XLOOKUP(C11,Invoices!$A$5:$A$3000,Invoices!$C$5:$C$3000,""),Customers!$A$5:$A$500,Customers!$B$5:$B$500,"Check invoice")</f>
        <v/>
      </c>
    </row>
    <row r="12">
      <c r="A12" s="10">
        <f>"RV-"&amp;TEXT(ROW()-4,"000")</f>
        <v/>
      </c>
      <c r="B12" s="4" t="n">
        <v>46295</v>
      </c>
      <c r="C12" s="7" t="inlineStr">
        <is>
          <t>INV-009</t>
        </is>
      </c>
      <c r="D12" s="8" t="n">
        <v>42480</v>
      </c>
      <c r="E12" s="10">
        <f>_xlfn.XLOOKUP(_xlfn.XLOOKUP(C12,Invoices!$A$5:$A$3000,Invoices!$C$5:$C$3000,""),Customers!$A$5:$A$500,Customers!$B$5:$B$500,"Check invoice")</f>
        <v/>
      </c>
    </row>
    <row r="13">
      <c r="A13" s="10">
        <f>"RV-"&amp;TEXT(ROW()-4,"000")</f>
        <v/>
      </c>
      <c r="B13" s="4" t="n">
        <v>46310</v>
      </c>
      <c r="C13" s="7" t="inlineStr">
        <is>
          <t>INV-010</t>
        </is>
      </c>
      <c r="D13" s="8" t="n">
        <v>50000</v>
      </c>
      <c r="E13" s="10">
        <f>_xlfn.XLOOKUP(_xlfn.XLOOKUP(C13,Invoices!$A$5:$A$3000,Invoices!$C$5:$C$3000,""),Customers!$A$5:$A$500,Customers!$B$5:$B$500,"Check invoice")</f>
        <v/>
      </c>
    </row>
    <row r="14">
      <c r="A14" s="10">
        <f>"RV-"&amp;TEXT(ROW()-4,"000")</f>
        <v/>
      </c>
      <c r="B14" s="4" t="n">
        <v>46303</v>
      </c>
      <c r="C14" s="7" t="inlineStr">
        <is>
          <t>INV-011</t>
        </is>
      </c>
      <c r="D14" s="8" t="n">
        <v>33040</v>
      </c>
      <c r="E14" s="10">
        <f>_xlfn.XLOOKUP(_xlfn.XLOOKUP(C14,Invoices!$A$5:$A$3000,Invoices!$C$5:$C$3000,""),Customers!$A$5:$A$500,Customers!$B$5:$B$500,"Check invoice")</f>
        <v/>
      </c>
    </row>
    <row r="15">
      <c r="A15" s="10">
        <f>"RV-"&amp;TEXT(ROW()-4,"000")</f>
        <v/>
      </c>
      <c r="B15" s="4" t="n">
        <v>46301</v>
      </c>
      <c r="C15" s="7" t="inlineStr">
        <is>
          <t>INV-013</t>
        </is>
      </c>
      <c r="D15" s="8" t="n">
        <v>21240</v>
      </c>
      <c r="E15" s="10">
        <f>_xlfn.XLOOKUP(_xlfn.XLOOKUP(C15,Invoices!$A$5:$A$3000,Invoices!$C$5:$C$3000,""),Customers!$A$5:$A$500,Customers!$B$5:$B$500,"Check invoice")</f>
        <v/>
      </c>
    </row>
    <row r="16">
      <c r="A16" s="10">
        <f>"RV-"&amp;TEXT(ROW()-4,"000")</f>
        <v/>
      </c>
      <c r="B16" s="4" t="n">
        <v>46309</v>
      </c>
      <c r="C16" s="7" t="inlineStr">
        <is>
          <t>INV-012</t>
        </is>
      </c>
      <c r="D16" s="8" t="n">
        <v>30000</v>
      </c>
      <c r="E16" s="10">
        <f>_xlfn.XLOOKUP(_xlfn.XLOOKUP(C16,Invoices!$A$5:$A$3000,Invoices!$C$5:$C$3000,""),Customers!$A$5:$A$500,Customers!$B$5:$B$500,"Check invoice")</f>
        <v/>
      </c>
    </row>
  </sheetData>
  <dataValidations count="1">
    <dataValidation sqref="C5:C5000" showDropDown="0" showInputMessage="0" showErrorMessage="1" allowBlank="1" errorTitle="Not in the list" error="Pick a value from the list" type="list">
      <formula1>=Invoices!$A$5:$A$3000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</cols>
  <sheetData>
    <row r="1">
      <c r="A1" s="1" t="inlineStr">
        <is>
          <t>Receivables ageing by customer</t>
        </is>
      </c>
    </row>
    <row r="2">
      <c r="A2" s="2" t="inlineStr">
        <is>
          <t>SUMIFS of balance by customer and age bucket.</t>
        </is>
      </c>
    </row>
    <row r="4">
      <c r="A4" s="6" t="inlineStr">
        <is>
          <t>Customer</t>
        </is>
      </c>
      <c r="B4" s="6" t="inlineStr">
        <is>
          <t>Customer ID</t>
        </is>
      </c>
      <c r="C4" s="6" t="inlineStr">
        <is>
          <t>Not due</t>
        </is>
      </c>
      <c r="D4" s="6" t="inlineStr">
        <is>
          <t>1-30</t>
        </is>
      </c>
      <c r="E4" s="6" t="inlineStr">
        <is>
          <t>31-60</t>
        </is>
      </c>
      <c r="F4" s="6" t="inlineStr">
        <is>
          <t>61-90</t>
        </is>
      </c>
      <c r="G4" s="6" t="inlineStr">
        <is>
          <t>Over 90</t>
        </is>
      </c>
      <c r="H4" s="6" t="inlineStr">
        <is>
          <t>Total (₹)</t>
        </is>
      </c>
    </row>
    <row r="5">
      <c r="A5" s="10">
        <f>Customers!B5</f>
        <v/>
      </c>
      <c r="B5" s="10">
        <f>Customers!A5</f>
        <v/>
      </c>
      <c r="C5" s="9">
        <f>SUMIFS(Invoices!$J$5:$J$3000,Invoices!$C$5:$C$3000,$B5,Invoices!$L$5:$L$3000,C$4)</f>
        <v/>
      </c>
      <c r="D5" s="9">
        <f>SUMIFS(Invoices!$J$5:$J$3000,Invoices!$C$5:$C$3000,$B5,Invoices!$L$5:$L$3000,D$4)</f>
        <v/>
      </c>
      <c r="E5" s="9">
        <f>SUMIFS(Invoices!$J$5:$J$3000,Invoices!$C$5:$C$3000,$B5,Invoices!$L$5:$L$3000,E$4)</f>
        <v/>
      </c>
      <c r="F5" s="9">
        <f>SUMIFS(Invoices!$J$5:$J$3000,Invoices!$C$5:$C$3000,$B5,Invoices!$L$5:$L$3000,F$4)</f>
        <v/>
      </c>
      <c r="G5" s="9">
        <f>SUMIFS(Invoices!$J$5:$J$3000,Invoices!$C$5:$C$3000,$B5,Invoices!$L$5:$L$3000,G$4)</f>
        <v/>
      </c>
      <c r="H5" s="9">
        <f>SUM(C5:G5)</f>
        <v/>
      </c>
    </row>
    <row r="6">
      <c r="A6" s="10">
        <f>Customers!B6</f>
        <v/>
      </c>
      <c r="B6" s="10">
        <f>Customers!A6</f>
        <v/>
      </c>
      <c r="C6" s="9">
        <f>SUMIFS(Invoices!$J$5:$J$3000,Invoices!$C$5:$C$3000,$B6,Invoices!$L$5:$L$3000,C$4)</f>
        <v/>
      </c>
      <c r="D6" s="9">
        <f>SUMIFS(Invoices!$J$5:$J$3000,Invoices!$C$5:$C$3000,$B6,Invoices!$L$5:$L$3000,D$4)</f>
        <v/>
      </c>
      <c r="E6" s="9">
        <f>SUMIFS(Invoices!$J$5:$J$3000,Invoices!$C$5:$C$3000,$B6,Invoices!$L$5:$L$3000,E$4)</f>
        <v/>
      </c>
      <c r="F6" s="9">
        <f>SUMIFS(Invoices!$J$5:$J$3000,Invoices!$C$5:$C$3000,$B6,Invoices!$L$5:$L$3000,F$4)</f>
        <v/>
      </c>
      <c r="G6" s="9">
        <f>SUMIFS(Invoices!$J$5:$J$3000,Invoices!$C$5:$C$3000,$B6,Invoices!$L$5:$L$3000,G$4)</f>
        <v/>
      </c>
      <c r="H6" s="9">
        <f>SUM(C6:G6)</f>
        <v/>
      </c>
    </row>
    <row r="7">
      <c r="A7" s="10">
        <f>Customers!B7</f>
        <v/>
      </c>
      <c r="B7" s="10">
        <f>Customers!A7</f>
        <v/>
      </c>
      <c r="C7" s="9">
        <f>SUMIFS(Invoices!$J$5:$J$3000,Invoices!$C$5:$C$3000,$B7,Invoices!$L$5:$L$3000,C$4)</f>
        <v/>
      </c>
      <c r="D7" s="9">
        <f>SUMIFS(Invoices!$J$5:$J$3000,Invoices!$C$5:$C$3000,$B7,Invoices!$L$5:$L$3000,D$4)</f>
        <v/>
      </c>
      <c r="E7" s="9">
        <f>SUMIFS(Invoices!$J$5:$J$3000,Invoices!$C$5:$C$3000,$B7,Invoices!$L$5:$L$3000,E$4)</f>
        <v/>
      </c>
      <c r="F7" s="9">
        <f>SUMIFS(Invoices!$J$5:$J$3000,Invoices!$C$5:$C$3000,$B7,Invoices!$L$5:$L$3000,F$4)</f>
        <v/>
      </c>
      <c r="G7" s="9">
        <f>SUMIFS(Invoices!$J$5:$J$3000,Invoices!$C$5:$C$3000,$B7,Invoices!$L$5:$L$3000,G$4)</f>
        <v/>
      </c>
      <c r="H7" s="9">
        <f>SUM(C7:G7)</f>
        <v/>
      </c>
    </row>
    <row r="8">
      <c r="A8" s="10">
        <f>Customers!B8</f>
        <v/>
      </c>
      <c r="B8" s="10">
        <f>Customers!A8</f>
        <v/>
      </c>
      <c r="C8" s="9">
        <f>SUMIFS(Invoices!$J$5:$J$3000,Invoices!$C$5:$C$3000,$B8,Invoices!$L$5:$L$3000,C$4)</f>
        <v/>
      </c>
      <c r="D8" s="9">
        <f>SUMIFS(Invoices!$J$5:$J$3000,Invoices!$C$5:$C$3000,$B8,Invoices!$L$5:$L$3000,D$4)</f>
        <v/>
      </c>
      <c r="E8" s="9">
        <f>SUMIFS(Invoices!$J$5:$J$3000,Invoices!$C$5:$C$3000,$B8,Invoices!$L$5:$L$3000,E$4)</f>
        <v/>
      </c>
      <c r="F8" s="9">
        <f>SUMIFS(Invoices!$J$5:$J$3000,Invoices!$C$5:$C$3000,$B8,Invoices!$L$5:$L$3000,F$4)</f>
        <v/>
      </c>
      <c r="G8" s="9">
        <f>SUMIFS(Invoices!$J$5:$J$3000,Invoices!$C$5:$C$3000,$B8,Invoices!$L$5:$L$3000,G$4)</f>
        <v/>
      </c>
      <c r="H8" s="9">
        <f>SUM(C8:G8)</f>
        <v/>
      </c>
    </row>
    <row r="9">
      <c r="A9" s="10">
        <f>Customers!B9</f>
        <v/>
      </c>
      <c r="B9" s="10">
        <f>Customers!A9</f>
        <v/>
      </c>
      <c r="C9" s="9">
        <f>SUMIFS(Invoices!$J$5:$J$3000,Invoices!$C$5:$C$3000,$B9,Invoices!$L$5:$L$3000,C$4)</f>
        <v/>
      </c>
      <c r="D9" s="9">
        <f>SUMIFS(Invoices!$J$5:$J$3000,Invoices!$C$5:$C$3000,$B9,Invoices!$L$5:$L$3000,D$4)</f>
        <v/>
      </c>
      <c r="E9" s="9">
        <f>SUMIFS(Invoices!$J$5:$J$3000,Invoices!$C$5:$C$3000,$B9,Invoices!$L$5:$L$3000,E$4)</f>
        <v/>
      </c>
      <c r="F9" s="9">
        <f>SUMIFS(Invoices!$J$5:$J$3000,Invoices!$C$5:$C$3000,$B9,Invoices!$L$5:$L$3000,F$4)</f>
        <v/>
      </c>
      <c r="G9" s="9">
        <f>SUMIFS(Invoices!$J$5:$J$3000,Invoices!$C$5:$C$3000,$B9,Invoices!$L$5:$L$3000,G$4)</f>
        <v/>
      </c>
      <c r="H9" s="9">
        <f>SUM(C9:G9)</f>
        <v/>
      </c>
    </row>
    <row r="10">
      <c r="A10" s="10">
        <f>Customers!B10</f>
        <v/>
      </c>
      <c r="B10" s="10">
        <f>Customers!A10</f>
        <v/>
      </c>
      <c r="C10" s="9">
        <f>SUMIFS(Invoices!$J$5:$J$3000,Invoices!$C$5:$C$3000,$B10,Invoices!$L$5:$L$3000,C$4)</f>
        <v/>
      </c>
      <c r="D10" s="9">
        <f>SUMIFS(Invoices!$J$5:$J$3000,Invoices!$C$5:$C$3000,$B10,Invoices!$L$5:$L$3000,D$4)</f>
        <v/>
      </c>
      <c r="E10" s="9">
        <f>SUMIFS(Invoices!$J$5:$J$3000,Invoices!$C$5:$C$3000,$B10,Invoices!$L$5:$L$3000,E$4)</f>
        <v/>
      </c>
      <c r="F10" s="9">
        <f>SUMIFS(Invoices!$J$5:$J$3000,Invoices!$C$5:$C$3000,$B10,Invoices!$L$5:$L$3000,F$4)</f>
        <v/>
      </c>
      <c r="G10" s="9">
        <f>SUMIFS(Invoices!$J$5:$J$3000,Invoices!$C$5:$C$3000,$B10,Invoices!$L$5:$L$3000,G$4)</f>
        <v/>
      </c>
      <c r="H10" s="9">
        <f>SUM(C10:G10)</f>
        <v/>
      </c>
    </row>
    <row r="11">
      <c r="A11" s="12" t="inlineStr">
        <is>
          <t>Total</t>
        </is>
      </c>
      <c r="C11" s="13">
        <f>SUM(C5:C10)</f>
        <v/>
      </c>
      <c r="D11" s="13">
        <f>SUM(D5:D10)</f>
        <v/>
      </c>
      <c r="E11" s="13">
        <f>SUM(E5:E10)</f>
        <v/>
      </c>
      <c r="F11" s="13">
        <f>SUM(F5:F10)</f>
        <v/>
      </c>
      <c r="G11" s="13">
        <f>SUM(G5:G10)</f>
        <v/>
      </c>
      <c r="H11" s="13">
        <f>SUM(H5:H10)</f>
        <v/>
      </c>
    </row>
    <row r="13">
      <c r="A13" s="6" t="inlineStr">
        <is>
          <t>Age bucket</t>
        </is>
      </c>
      <c r="B13" s="6" t="inlineStr">
        <is>
          <t>Outstanding (₹)</t>
        </is>
      </c>
    </row>
    <row r="14">
      <c r="A14" s="10">
        <f>C4</f>
        <v/>
      </c>
      <c r="B14" s="9">
        <f>C11</f>
        <v/>
      </c>
    </row>
    <row r="15">
      <c r="A15" s="10">
        <f>D4</f>
        <v/>
      </c>
      <c r="B15" s="9">
        <f>D11</f>
        <v/>
      </c>
    </row>
    <row r="16">
      <c r="A16" s="10">
        <f>E4</f>
        <v/>
      </c>
      <c r="B16" s="9">
        <f>E11</f>
        <v/>
      </c>
    </row>
    <row r="17">
      <c r="A17" s="10">
        <f>F4</f>
        <v/>
      </c>
      <c r="B17" s="9">
        <f>F11</f>
        <v/>
      </c>
    </row>
    <row r="18">
      <c r="A18" s="10">
        <f>G4</f>
        <v/>
      </c>
      <c r="B18" s="9">
        <f>G11</f>
        <v/>
      </c>
    </row>
  </sheetData>
  <conditionalFormatting sqref="F5:G10">
    <cfRule type="cellIs" priority="1" operator="greaterThan" dxfId="1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Printable customer statement</t>
        </is>
      </c>
    </row>
    <row r="2">
      <c r="A2" s="2" t="inlineStr">
        <is>
          <t>Type a customer ID in B4. Print A1:B13 and send it with a payment reminder.</t>
        </is>
      </c>
    </row>
    <row r="3">
      <c r="A3" s="3" t="inlineStr">
        <is>
          <t>Ravindra Trading Co, Solapur</t>
        </is>
      </c>
    </row>
    <row r="4">
      <c r="A4" s="3" t="inlineStr">
        <is>
          <t>Customer ID</t>
        </is>
      </c>
      <c r="B4" s="7" t="inlineStr">
        <is>
          <t>C05</t>
        </is>
      </c>
    </row>
    <row r="6">
      <c r="A6" s="3" t="inlineStr">
        <is>
          <t>Customer</t>
        </is>
      </c>
      <c r="B6" s="10">
        <f>_xlfn.XLOOKUP($B$4,Customers!$A$5:$A$500,Customers!$B$5:$B$500,"Not found")</f>
        <v/>
      </c>
    </row>
    <row r="7">
      <c r="A7" s="3" t="inlineStr">
        <is>
          <t>Invoiced (₹)</t>
        </is>
      </c>
      <c r="B7" s="9">
        <f>SUMIFS(Invoices!$G$5:$G$3000,Invoices!$C$5:$C$3000,$B$4)</f>
        <v/>
      </c>
    </row>
    <row r="8">
      <c r="A8" s="3" t="inlineStr">
        <is>
          <t>Received (₹)</t>
        </is>
      </c>
      <c r="B8" s="9">
        <f>SUMIFS(Invoices!$I$5:$I$3000,Invoices!$C$5:$C$3000,$B$4)</f>
        <v/>
      </c>
    </row>
    <row r="9">
      <c r="A9" s="3" t="inlineStr">
        <is>
          <t>Balance (₹)</t>
        </is>
      </c>
      <c r="B9" s="9">
        <f>B7-B8</f>
        <v/>
      </c>
    </row>
    <row r="10">
      <c r="A10" s="3" t="inlineStr">
        <is>
          <t>Overdue (₹)</t>
        </is>
      </c>
      <c r="B10" s="9">
        <f>B9-SUMIFS(Invoices!$J$5:$J$3000,Invoices!$C$5:$C$3000,$B$4,Invoices!$L$5:$L$3000,"Not due")</f>
        <v/>
      </c>
    </row>
    <row r="11">
      <c r="A11" s="3" t="inlineStr">
        <is>
          <t>Oldest overdue (days)</t>
        </is>
      </c>
      <c r="B11" s="10">
        <f>_xlfn.MAXIFS(Invoices!$K$5:$K$3000,Invoices!$C$5:$C$3000,$B$4)</f>
        <v/>
      </c>
    </row>
    <row r="12">
      <c r="A12" s="3" t="inlineStr">
        <is>
          <t>Open invoices</t>
        </is>
      </c>
      <c r="B12" s="10">
        <f>COUNTIFS(Invoices!$C$5:$C$3000,$B$4,Invoices!$J$5:$J$3000,"&gt;0")</f>
        <v/>
      </c>
    </row>
    <row r="13">
      <c r="A13" t="inlineStr">
        <is>
          <t>Please pay the overdue amount at the earliest. Ignore if already paid.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Receivables dashboard: 17 October 2026</t>
        </is>
      </c>
    </row>
    <row r="2">
      <c r="A2" s="2" t="inlineStr">
        <is>
          <t>Formulas over Invoices, Customers and Ageing.</t>
        </is>
      </c>
    </row>
    <row r="4" ht="32" customHeight="1">
      <c r="A4" s="6" t="inlineStr">
        <is>
          <t>Total outstanding</t>
        </is>
      </c>
      <c r="B4" s="6" t="inlineStr">
        <is>
          <t>Overdue</t>
        </is>
      </c>
      <c r="C4" s="6" t="inlineStr">
        <is>
          <t>Over 60 days</t>
        </is>
      </c>
      <c r="D4" s="6" t="inlineStr">
        <is>
          <t>Invoiced in October</t>
        </is>
      </c>
      <c r="E4" s="6" t="inlineStr">
        <is>
          <t>Received in October</t>
        </is>
      </c>
      <c r="F4" s="6" t="inlineStr">
        <is>
          <t>Customers over limit</t>
        </is>
      </c>
    </row>
    <row r="5" ht="30" customHeight="1">
      <c r="A5" s="14">
        <f>Ageing!H11</f>
        <v/>
      </c>
      <c r="B5" s="14">
        <f>Ageing!H11-Ageing!C11</f>
        <v/>
      </c>
      <c r="C5" s="14">
        <f>Ageing!F11+Ageing!G11</f>
        <v/>
      </c>
      <c r="D5" s="14">
        <f>SUMIFS(Invoices!$G$5:$G$3000,Invoices!$B$5:$B$3000,"&gt;="&amp;DATE(2026,10,1))</f>
        <v/>
      </c>
      <c r="E5" s="14">
        <f>SUMIFS(Receipts!D5:D5000,Receipts!B5:B5000,"&gt;="&amp;DATE(2026,10,1))</f>
        <v/>
      </c>
      <c r="F5" s="15">
        <f>COUNTIF(Customers!F5:F500,"Over limit")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