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etup" sheetId="2" state="visible" r:id="rId2"/>
    <sheet xmlns:r="http://schemas.openxmlformats.org/officeDocument/2006/relationships" name="Jobs" sheetId="3" state="visible" r:id="rId3"/>
    <sheet xmlns:r="http://schemas.openxmlformats.org/officeDocument/2006/relationships" name="Quotation" sheetId="4" state="visible" r:id="rId4"/>
    <sheet xmlns:r="http://schemas.openxmlformats.org/officeDocument/2006/relationships" name="Report" sheetId="5" state="visible" r:id="rId5"/>
    <sheet xmlns:r="http://schemas.openxmlformats.org/officeDocument/2006/relationships" name="Dashboard" sheetId="6" state="visible" r:id="rId6"/>
  </sheets>
  <definedNames>
    <definedName name="_xlnm.Print_Area" localSheetId="3">'Quotation'!$A$1:$C$18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 h:mm:ss"/>
    <numFmt numFmtId="165" formatCode="DD-MM-YYYY"/>
    <numFmt numFmtId="166" formatCode="[$₹-4009]#,##,##0;[Red]-[$₹-4009]#,##,##0"/>
    <numFmt numFmtId="167" formatCode="0.0%"/>
    <numFmt numFmtId="168" formatCode="[$₹-4009]#,##,##0.00"/>
  </numFmts>
  <fonts count="5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  <font>
      <b val="1"/>
      <color rgb="000B1F33"/>
      <sz val="16"/>
    </font>
  </fonts>
  <fills count="6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7F0FA"/>
      </patternFill>
    </fill>
    <fill>
      <patternFill patternType="solid">
        <fgColor rgb="00EAF6EE"/>
      </patternFill>
    </fill>
    <fill>
      <patternFill patternType="solid">
        <fgColor rgb="00DCE9F5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165" fontId="0" fillId="2" borderId="1" pivotButton="0" quotePrefix="0" xfId="0"/>
    <xf numFmtId="166" fontId="0" fillId="2" borderId="1" pivotButton="0" quotePrefix="0" xfId="0"/>
    <xf numFmtId="167" fontId="0" fillId="2" borderId="1" pivotButton="0" quotePrefix="0" xfId="0"/>
    <xf numFmtId="168" fontId="0" fillId="2" borderId="1" pivotButton="0" quotePrefix="0" xfId="0"/>
    <xf numFmtId="0" fontId="3" fillId="3" borderId="1" applyAlignment="1" pivotButton="0" quotePrefix="0" xfId="0">
      <alignment vertical="top" wrapText="1"/>
    </xf>
    <xf numFmtId="0" fontId="3" fillId="3" borderId="1" pivotButton="0" quotePrefix="0" xfId="0"/>
    <xf numFmtId="0" fontId="0" fillId="2" borderId="1" pivotButton="0" quotePrefix="0" xfId="0"/>
    <xf numFmtId="0" fontId="0" fillId="4" borderId="1" pivotButton="0" quotePrefix="0" xfId="0"/>
    <xf numFmtId="165" fontId="0" fillId="4" borderId="1" pivotButton="0" quotePrefix="0" xfId="0"/>
    <xf numFmtId="168" fontId="0" fillId="4" borderId="1" pivotButton="0" quotePrefix="0" xfId="0"/>
    <xf numFmtId="166" fontId="0" fillId="4" borderId="1" pivotButton="0" quotePrefix="0" xfId="0"/>
    <xf numFmtId="3" fontId="0" fillId="4" borderId="1" pivotButton="0" quotePrefix="0" xfId="0"/>
    <xf numFmtId="0" fontId="3" fillId="5" borderId="1" pivotButton="0" quotePrefix="0" xfId="0"/>
    <xf numFmtId="166" fontId="3" fillId="5" borderId="1" pivotButton="0" quotePrefix="0" xfId="0"/>
    <xf numFmtId="0" fontId="0" fillId="0" borderId="1" pivotButton="0" quotePrefix="0" xfId="0"/>
    <xf numFmtId="0" fontId="4" fillId="4" borderId="1" applyAlignment="1" pivotButton="0" quotePrefix="0" xfId="0">
      <alignment horizontal="center"/>
    </xf>
    <xf numFmtId="166" fontId="4" fillId="4" borderId="1" applyAlignment="1" pivotButton="0" quotePrefix="0" xfId="0">
      <alignment horizontal="center"/>
    </xf>
    <xf numFmtId="167" fontId="4" fillId="4" borderId="1" applyAlignment="1" pivotButton="0" quotePrefix="0" xfId="0">
      <alignment horizontal="center"/>
    </xf>
  </cellXfs>
  <cellStyles count="1">
    <cellStyle name="Normal" xfId="0" builtinId="0" hidden="0"/>
  </cellStyles>
  <dxfs count="1">
    <dxf>
      <fill>
        <patternFill patternType="solid">
          <fgColor rgb="00FDEC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Profit by job type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'Report'!$A$5:$A$9</f>
            </numRef>
          </cat>
          <val>
            <numRef>
              <f>'Report'!$E$5:$E$9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Where the cost goes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'Report'!$A$13:$A$16</f>
            </numRef>
          </cat>
          <val>
            <numRef>
              <f>'Report'!$B$13:$B$16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7</row>
      <rowOff>0</rowOff>
    </from>
    <ext cx="57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24</row>
      <rowOff>0</rowOff>
    </from>
    <ext cx="468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Printing press management system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Business Management Systems. By Ravindra Bagale.</t>
        </is>
      </c>
    </row>
    <row r="6">
      <c r="A6" t="inlineStr"/>
    </row>
    <row r="7">
      <c r="A7" t="inlineStr">
        <is>
          <t>Sheets: Setup (rates, wastage, margin, GST), Jobs (estimate and status), Quotation (printable), Report, Dashboard.</t>
        </is>
      </c>
    </row>
    <row r="8">
      <c r="A8" t="inlineStr">
        <is>
          <t>Rates in Setup are examples; update paper rates when your supplier changes them.</t>
        </is>
      </c>
    </row>
    <row r="9">
      <c r="A9" t="inlineStr">
        <is>
          <t>Get the proof signed before printing; note the approval date in a column if you need it.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36" customWidth="1" min="1" max="1"/>
    <col width="14" customWidth="1" min="2" max="2"/>
    <col width="15" customWidth="1" min="4" max="4"/>
  </cols>
  <sheetData>
    <row r="1">
      <c r="A1" s="1" t="inlineStr">
        <is>
          <t>Printing Press Management System: Setup (Shahrukh Printers, Nashik)</t>
        </is>
      </c>
    </row>
    <row r="2">
      <c r="A2" s="2" t="inlineStr">
        <is>
          <t>Made-up paper rates, costs and jobs for October 2026. GST rate is an input; confirm it for your print work.</t>
        </is>
      </c>
    </row>
    <row r="3">
      <c r="A3" s="3" t="inlineStr">
        <is>
          <t>As-of date</t>
        </is>
      </c>
      <c r="B3" s="4" t="n">
        <v>46312</v>
      </c>
    </row>
    <row r="4">
      <c r="A4" s="3" t="inlineStr">
        <is>
          <t>Plate cost per colour per side (₹)</t>
        </is>
      </c>
      <c r="B4" s="5" t="n">
        <v>350</v>
      </c>
    </row>
    <row r="5">
      <c r="A5" s="3" t="inlineStr">
        <is>
          <t>Printing per 1,000 impressions (₹)</t>
        </is>
      </c>
      <c r="B5" s="5" t="n">
        <v>300</v>
      </c>
    </row>
    <row r="6">
      <c r="A6" s="3" t="inlineStr">
        <is>
          <t>Wastage allowance</t>
        </is>
      </c>
      <c r="B6" s="6" t="n">
        <v>0.05</v>
      </c>
    </row>
    <row r="7">
      <c r="A7" s="3" t="inlineStr">
        <is>
          <t>Lamination per sheet (₹)</t>
        </is>
      </c>
      <c r="B7" s="7" t="n">
        <v>2</v>
      </c>
    </row>
    <row r="8">
      <c r="A8" s="3" t="inlineStr">
        <is>
          <t>Binding per copy (₹)</t>
        </is>
      </c>
      <c r="B8" s="7" t="n">
        <v>8</v>
      </c>
    </row>
    <row r="9">
      <c r="A9" s="3" t="inlineStr">
        <is>
          <t>Margin on cost</t>
        </is>
      </c>
      <c r="B9" s="6" t="n">
        <v>0.25</v>
      </c>
    </row>
    <row r="10">
      <c r="A10" s="3" t="inlineStr">
        <is>
          <t>GST on print work</t>
        </is>
      </c>
      <c r="B10" s="6" t="n">
        <v>0.18</v>
      </c>
    </row>
    <row r="12">
      <c r="A12" s="8" t="inlineStr">
        <is>
          <t>Paper</t>
        </is>
      </c>
      <c r="B12" s="8" t="inlineStr">
        <is>
          <t>Rate per sheet (₹)</t>
        </is>
      </c>
      <c r="D12" s="9" t="inlineStr">
        <is>
          <t>Job types</t>
        </is>
      </c>
    </row>
    <row r="13">
      <c r="A13" s="10" t="inlineStr">
        <is>
          <t>Maplitho 70 gsm</t>
        </is>
      </c>
      <c r="B13" s="7" t="n">
        <v>2.2</v>
      </c>
      <c r="D13" s="10" t="inlineStr">
        <is>
          <t>Visiting cards</t>
        </is>
      </c>
    </row>
    <row r="14">
      <c r="A14" s="10" t="inlineStr">
        <is>
          <t>Art paper 130 gsm</t>
        </is>
      </c>
      <c r="B14" s="7" t="n">
        <v>4.5</v>
      </c>
      <c r="D14" s="10" t="inlineStr">
        <is>
          <t>Pamphlets</t>
        </is>
      </c>
    </row>
    <row r="15">
      <c r="A15" s="10" t="inlineStr">
        <is>
          <t>Art card 300 gsm</t>
        </is>
      </c>
      <c r="B15" s="7" t="n">
        <v>9</v>
      </c>
      <c r="D15" s="10" t="inlineStr">
        <is>
          <t>Brochures</t>
        </is>
      </c>
    </row>
    <row r="16">
      <c r="D16" s="10" t="inlineStr">
        <is>
          <t>Wedding cards</t>
        </is>
      </c>
    </row>
    <row r="17">
      <c r="D17" s="10" t="inlineStr">
        <is>
          <t>Books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12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1" customWidth="1" min="2" max="2"/>
    <col width="22" customWidth="1" min="3" max="3"/>
    <col width="14" customWidth="1" min="4" max="4"/>
    <col width="17" customWidth="1" min="9" max="9"/>
    <col width="11" customWidth="1" min="13" max="13"/>
    <col width="11" customWidth="1" min="19" max="19"/>
    <col width="12" customWidth="1" min="20" max="20"/>
    <col width="12" customWidth="1" min="21" max="21"/>
    <col width="11" customWidth="1" min="23" max="23"/>
    <col width="10" customWidth="1" min="24" max="24"/>
    <col width="11" customWidth="1" min="25" max="25"/>
  </cols>
  <sheetData>
    <row r="1">
      <c r="A1" s="1" t="inlineStr">
        <is>
          <t>Jobs and estimate</t>
        </is>
      </c>
    </row>
    <row r="2">
      <c r="A2" s="2" t="inlineStr">
        <is>
          <t>Sheets = ROUNDUP(qty ÷ ups) × (1 + wastage). Plates = colours × sides. Impressions charged in 1,000s, minimum 1,000 per colour per side.</t>
        </is>
      </c>
    </row>
    <row r="4">
      <c r="A4" s="8" t="inlineStr">
        <is>
          <t>Job no</t>
        </is>
      </c>
      <c r="B4" s="8" t="inlineStr">
        <is>
          <t>Date</t>
        </is>
      </c>
      <c r="C4" s="8" t="inlineStr">
        <is>
          <t>Customer</t>
        </is>
      </c>
      <c r="D4" s="8" t="inlineStr">
        <is>
          <t>Job type</t>
        </is>
      </c>
      <c r="E4" s="8" t="inlineStr">
        <is>
          <t>Qty</t>
        </is>
      </c>
      <c r="F4" s="8" t="inlineStr">
        <is>
          <t>Ups per sheet</t>
        </is>
      </c>
      <c r="G4" s="8" t="inlineStr">
        <is>
          <t>Colours</t>
        </is>
      </c>
      <c r="H4" s="8" t="inlineStr">
        <is>
          <t>Sides</t>
        </is>
      </c>
      <c r="I4" s="8" t="inlineStr">
        <is>
          <t>Paper</t>
        </is>
      </c>
      <c r="J4" s="8" t="inlineStr">
        <is>
          <t>Lamination?</t>
        </is>
      </c>
      <c r="K4" s="8" t="inlineStr">
        <is>
          <t>Binding?</t>
        </is>
      </c>
      <c r="L4" s="8" t="inlineStr">
        <is>
          <t>Days to deliver</t>
        </is>
      </c>
      <c r="M4" s="8" t="inlineStr">
        <is>
          <t>Due</t>
        </is>
      </c>
      <c r="N4" s="8" t="inlineStr">
        <is>
          <t>Sheets</t>
        </is>
      </c>
      <c r="O4" s="8" t="inlineStr">
        <is>
          <t>Paper (₹)</t>
        </is>
      </c>
      <c r="P4" s="8" t="inlineStr">
        <is>
          <t>Plates (₹)</t>
        </is>
      </c>
      <c r="Q4" s="8" t="inlineStr">
        <is>
          <t>Printing (₹)</t>
        </is>
      </c>
      <c r="R4" s="8" t="inlineStr">
        <is>
          <t>Finishing (₹)</t>
        </is>
      </c>
      <c r="S4" s="8" t="inlineStr">
        <is>
          <t>Cost (₹)</t>
        </is>
      </c>
      <c r="T4" s="8" t="inlineStr">
        <is>
          <t>Quote before GST (₹)</t>
        </is>
      </c>
      <c r="U4" s="8" t="inlineStr">
        <is>
          <t>Quote with GST (₹)</t>
        </is>
      </c>
      <c r="V4" s="8" t="inlineStr">
        <is>
          <t>Advance (₹)</t>
        </is>
      </c>
      <c r="W4" s="8" t="inlineStr">
        <is>
          <t>Delivered</t>
        </is>
      </c>
      <c r="X4" s="8" t="inlineStr">
        <is>
          <t>Status</t>
        </is>
      </c>
      <c r="Y4" s="8" t="inlineStr">
        <is>
          <t>Profit (₹)</t>
        </is>
      </c>
    </row>
    <row r="5">
      <c r="A5" s="11">
        <f>"P-"&amp;TEXT(ROW()-4,"000")</f>
        <v/>
      </c>
      <c r="B5" s="4" t="n">
        <v>46296</v>
      </c>
      <c r="C5" s="10" t="inlineStr">
        <is>
          <t>Raja Traders</t>
        </is>
      </c>
      <c r="D5" s="10" t="inlineStr">
        <is>
          <t>Pamphlets</t>
        </is>
      </c>
      <c r="E5" s="10" t="n">
        <v>5000</v>
      </c>
      <c r="F5" s="10" t="n">
        <v>4</v>
      </c>
      <c r="G5" s="10" t="n">
        <v>4</v>
      </c>
      <c r="H5" s="10" t="n">
        <v>2</v>
      </c>
      <c r="I5" s="10" t="inlineStr">
        <is>
          <t>Maplitho 70 gsm</t>
        </is>
      </c>
      <c r="J5" s="10" t="inlineStr">
        <is>
          <t>No</t>
        </is>
      </c>
      <c r="K5" s="10" t="inlineStr">
        <is>
          <t>No</t>
        </is>
      </c>
      <c r="L5" s="10" t="n">
        <v>2</v>
      </c>
      <c r="M5" s="12">
        <f>B5+L5</f>
        <v/>
      </c>
      <c r="N5" s="11">
        <f>ROUNDUP(ROUNDUP(E5/F5,0)*(1+Setup!$B$6),0)</f>
        <v/>
      </c>
      <c r="O5" s="13">
        <f>ROUND(N5*_xlfn.XLOOKUP(I5,Setup!$A$13:$A$15,Setup!$B$13:$B$15,0),2)</f>
        <v/>
      </c>
      <c r="P5" s="14">
        <f>G5*H5*Setup!$B$4</f>
        <v/>
      </c>
      <c r="Q5" s="14">
        <f>ROUNDUP(MAX(1000,N5)/1000,0)*G5*H5*Setup!$B$5</f>
        <v/>
      </c>
      <c r="R5" s="14">
        <f>IF(J5="Yes",N5*Setup!$B$7,0)+IF(K5="Yes",E5*Setup!$B$8,0)</f>
        <v/>
      </c>
      <c r="S5" s="13">
        <f>O5+P5+Q5+R5</f>
        <v/>
      </c>
      <c r="T5" s="14">
        <f>ROUND(S5*(1+Setup!$B$9),0)</f>
        <v/>
      </c>
      <c r="U5" s="14">
        <f>ROUND(T5*(1+Setup!$B$10),0)</f>
        <v/>
      </c>
      <c r="V5" s="5" t="n">
        <v>4500</v>
      </c>
      <c r="W5" s="4" t="n">
        <v>46300</v>
      </c>
      <c r="X5" s="11">
        <f>IF(W5&lt;&gt;"","Delivered",IF(M5&lt;Setup!$B$3,"Overdue","In press"))</f>
        <v/>
      </c>
      <c r="Y5" s="13">
        <f>T5-S5</f>
        <v/>
      </c>
    </row>
    <row r="6">
      <c r="A6" s="11">
        <f>"P-"&amp;TEXT(ROW()-4,"000")</f>
        <v/>
      </c>
      <c r="B6" s="4" t="n">
        <v>46297</v>
      </c>
      <c r="C6" s="10" t="inlineStr">
        <is>
          <t>Zoya Events</t>
        </is>
      </c>
      <c r="D6" s="10" t="inlineStr">
        <is>
          <t>Wedding cards</t>
        </is>
      </c>
      <c r="E6" s="10" t="n">
        <v>500</v>
      </c>
      <c r="F6" s="10" t="n">
        <v>2</v>
      </c>
      <c r="G6" s="10" t="n">
        <v>4</v>
      </c>
      <c r="H6" s="10" t="n">
        <v>1</v>
      </c>
      <c r="I6" s="10" t="inlineStr">
        <is>
          <t>Art card 300 gsm</t>
        </is>
      </c>
      <c r="J6" s="10" t="inlineStr">
        <is>
          <t>Yes</t>
        </is>
      </c>
      <c r="K6" s="10" t="inlineStr">
        <is>
          <t>No</t>
        </is>
      </c>
      <c r="L6" s="10" t="n">
        <v>5</v>
      </c>
      <c r="M6" s="12">
        <f>B6+L6</f>
        <v/>
      </c>
      <c r="N6" s="11">
        <f>ROUNDUP(ROUNDUP(E6/F6,0)*(1+Setup!$B$6),0)</f>
        <v/>
      </c>
      <c r="O6" s="13">
        <f>ROUND(N6*_xlfn.XLOOKUP(I6,Setup!$A$13:$A$15,Setup!$B$13:$B$15,0),2)</f>
        <v/>
      </c>
      <c r="P6" s="14">
        <f>G6*H6*Setup!$B$4</f>
        <v/>
      </c>
      <c r="Q6" s="14">
        <f>ROUNDUP(MAX(1000,N6)/1000,0)*G6*H6*Setup!$B$5</f>
        <v/>
      </c>
      <c r="R6" s="14">
        <f>IF(J6="Yes",N6*Setup!$B$7,0)+IF(K6="Yes",E6*Setup!$B$8,0)</f>
        <v/>
      </c>
      <c r="S6" s="13">
        <f>O6+P6+Q6+R6</f>
        <v/>
      </c>
      <c r="T6" s="14">
        <f>ROUND(S6*(1+Setup!$B$9),0)</f>
        <v/>
      </c>
      <c r="U6" s="14">
        <f>ROUND(T6*(1+Setup!$B$10),0)</f>
        <v/>
      </c>
      <c r="V6" s="5" t="n">
        <v>2000</v>
      </c>
      <c r="W6" s="4" t="n">
        <v>46304</v>
      </c>
      <c r="X6" s="11">
        <f>IF(W6&lt;&gt;"","Delivered",IF(M6&lt;Setup!$B$3,"Overdue","In press"))</f>
        <v/>
      </c>
      <c r="Y6" s="13">
        <f>T6-S6</f>
        <v/>
      </c>
    </row>
    <row r="7">
      <c r="A7" s="11">
        <f>"P-"&amp;TEXT(ROW()-4,"000")</f>
        <v/>
      </c>
      <c r="B7" s="4" t="n">
        <v>46299</v>
      </c>
      <c r="C7" s="10" t="inlineStr">
        <is>
          <t>Ravindra Bagale</t>
        </is>
      </c>
      <c r="D7" s="10" t="inlineStr">
        <is>
          <t>Visiting cards</t>
        </is>
      </c>
      <c r="E7" s="10" t="n">
        <v>1000</v>
      </c>
      <c r="F7" s="10" t="n">
        <v>12</v>
      </c>
      <c r="G7" s="10" t="n">
        <v>4</v>
      </c>
      <c r="H7" s="10" t="n">
        <v>2</v>
      </c>
      <c r="I7" s="10" t="inlineStr">
        <is>
          <t>Art card 300 gsm</t>
        </is>
      </c>
      <c r="J7" s="10" t="inlineStr">
        <is>
          <t>Yes</t>
        </is>
      </c>
      <c r="K7" s="10" t="inlineStr">
        <is>
          <t>No</t>
        </is>
      </c>
      <c r="L7" s="10" t="n">
        <v>3</v>
      </c>
      <c r="M7" s="12">
        <f>B7+L7</f>
        <v/>
      </c>
      <c r="N7" s="11">
        <f>ROUNDUP(ROUNDUP(E7/F7,0)*(1+Setup!$B$6),0)</f>
        <v/>
      </c>
      <c r="O7" s="13">
        <f>ROUND(N7*_xlfn.XLOOKUP(I7,Setup!$A$13:$A$15,Setup!$B$13:$B$15,0),2)</f>
        <v/>
      </c>
      <c r="P7" s="14">
        <f>G7*H7*Setup!$B$4</f>
        <v/>
      </c>
      <c r="Q7" s="14">
        <f>ROUNDUP(MAX(1000,N7)/1000,0)*G7*H7*Setup!$B$5</f>
        <v/>
      </c>
      <c r="R7" s="14">
        <f>IF(J7="Yes",N7*Setup!$B$7,0)+IF(K7="Yes",E7*Setup!$B$8,0)</f>
        <v/>
      </c>
      <c r="S7" s="13">
        <f>O7+P7+Q7+R7</f>
        <v/>
      </c>
      <c r="T7" s="14">
        <f>ROUND(S7*(1+Setup!$B$9),0)</f>
        <v/>
      </c>
      <c r="U7" s="14">
        <f>ROUND(T7*(1+Setup!$B$10),0)</f>
        <v/>
      </c>
      <c r="V7" s="5" t="n">
        <v>1000</v>
      </c>
      <c r="W7" s="4" t="n">
        <v>46301</v>
      </c>
      <c r="X7" s="11">
        <f>IF(W7&lt;&gt;"","Delivered",IF(M7&lt;Setup!$B$3,"Overdue","In press"))</f>
        <v/>
      </c>
      <c r="Y7" s="13">
        <f>T7-S7</f>
        <v/>
      </c>
    </row>
    <row r="8">
      <c r="A8" s="11">
        <f>"P-"&amp;TEXT(ROW()-4,"000")</f>
        <v/>
      </c>
      <c r="B8" s="4" t="n">
        <v>46301</v>
      </c>
      <c r="C8" s="10" t="inlineStr">
        <is>
          <t>Shraddha Tuition Centre</t>
        </is>
      </c>
      <c r="D8" s="10" t="inlineStr">
        <is>
          <t>Brochures</t>
        </is>
      </c>
      <c r="E8" s="10" t="n">
        <v>2000</v>
      </c>
      <c r="F8" s="10" t="n">
        <v>2</v>
      </c>
      <c r="G8" s="10" t="n">
        <v>4</v>
      </c>
      <c r="H8" s="10" t="n">
        <v>2</v>
      </c>
      <c r="I8" s="10" t="inlineStr">
        <is>
          <t>Art paper 130 gsm</t>
        </is>
      </c>
      <c r="J8" s="10" t="inlineStr">
        <is>
          <t>Yes</t>
        </is>
      </c>
      <c r="K8" s="10" t="inlineStr">
        <is>
          <t>No</t>
        </is>
      </c>
      <c r="L8" s="10" t="n">
        <v>6</v>
      </c>
      <c r="M8" s="12">
        <f>B8+L8</f>
        <v/>
      </c>
      <c r="N8" s="11">
        <f>ROUNDUP(ROUNDUP(E8/F8,0)*(1+Setup!$B$6),0)</f>
        <v/>
      </c>
      <c r="O8" s="13">
        <f>ROUND(N8*_xlfn.XLOOKUP(I8,Setup!$A$13:$A$15,Setup!$B$13:$B$15,0),2)</f>
        <v/>
      </c>
      <c r="P8" s="14">
        <f>G8*H8*Setup!$B$4</f>
        <v/>
      </c>
      <c r="Q8" s="14">
        <f>ROUNDUP(MAX(1000,N8)/1000,0)*G8*H8*Setup!$B$5</f>
        <v/>
      </c>
      <c r="R8" s="14">
        <f>IF(J8="Yes",N8*Setup!$B$7,0)+IF(K8="Yes",E8*Setup!$B$8,0)</f>
        <v/>
      </c>
      <c r="S8" s="13">
        <f>O8+P8+Q8+R8</f>
        <v/>
      </c>
      <c r="T8" s="14">
        <f>ROUND(S8*(1+Setup!$B$9),0)</f>
        <v/>
      </c>
      <c r="U8" s="14">
        <f>ROUND(T8*(1+Setup!$B$10),0)</f>
        <v/>
      </c>
      <c r="V8" s="5" t="n">
        <v>6000</v>
      </c>
      <c r="W8" s="4" t="n">
        <v>46307</v>
      </c>
      <c r="X8" s="11">
        <f>IF(W8&lt;&gt;"","Delivered",IF(M8&lt;Setup!$B$3,"Overdue","In press"))</f>
        <v/>
      </c>
      <c r="Y8" s="13">
        <f>T8-S8</f>
        <v/>
      </c>
    </row>
    <row r="9">
      <c r="A9" s="11">
        <f>"P-"&amp;TEXT(ROW()-4,"000")</f>
        <v/>
      </c>
      <c r="B9" s="4" t="n">
        <v>46303</v>
      </c>
      <c r="C9" s="10" t="inlineStr">
        <is>
          <t>Bagale &amp; Associates</t>
        </is>
      </c>
      <c r="D9" s="10" t="inlineStr">
        <is>
          <t>Books</t>
        </is>
      </c>
      <c r="E9" s="10" t="n">
        <v>200</v>
      </c>
      <c r="F9" s="10" t="n">
        <v>1</v>
      </c>
      <c r="G9" s="10" t="n">
        <v>1</v>
      </c>
      <c r="H9" s="10" t="n">
        <v>2</v>
      </c>
      <c r="I9" s="10" t="inlineStr">
        <is>
          <t>Maplitho 70 gsm</t>
        </is>
      </c>
      <c r="J9" s="10" t="inlineStr">
        <is>
          <t>No</t>
        </is>
      </c>
      <c r="K9" s="10" t="inlineStr">
        <is>
          <t>Yes</t>
        </is>
      </c>
      <c r="L9" s="10" t="n">
        <v>7</v>
      </c>
      <c r="M9" s="12">
        <f>B9+L9</f>
        <v/>
      </c>
      <c r="N9" s="11">
        <f>ROUNDUP(ROUNDUP(E9/F9,0)*(1+Setup!$B$6),0)</f>
        <v/>
      </c>
      <c r="O9" s="13">
        <f>ROUND(N9*_xlfn.XLOOKUP(I9,Setup!$A$13:$A$15,Setup!$B$13:$B$15,0),2)</f>
        <v/>
      </c>
      <c r="P9" s="14">
        <f>G9*H9*Setup!$B$4</f>
        <v/>
      </c>
      <c r="Q9" s="14">
        <f>ROUNDUP(MAX(1000,N9)/1000,0)*G9*H9*Setup!$B$5</f>
        <v/>
      </c>
      <c r="R9" s="14">
        <f>IF(J9="Yes",N9*Setup!$B$7,0)+IF(K9="Yes",E9*Setup!$B$8,0)</f>
        <v/>
      </c>
      <c r="S9" s="13">
        <f>O9+P9+Q9+R9</f>
        <v/>
      </c>
      <c r="T9" s="14">
        <f>ROUND(S9*(1+Setup!$B$9),0)</f>
        <v/>
      </c>
      <c r="U9" s="14">
        <f>ROUND(T9*(1+Setup!$B$10),0)</f>
        <v/>
      </c>
      <c r="V9" s="5" t="n">
        <v>3000</v>
      </c>
      <c r="W9" s="4" t="n"/>
      <c r="X9" s="11">
        <f>IF(W9&lt;&gt;"","Delivered",IF(M9&lt;Setup!$B$3,"Overdue","In press"))</f>
        <v/>
      </c>
      <c r="Y9" s="13">
        <f>T9-S9</f>
        <v/>
      </c>
    </row>
    <row r="10">
      <c r="A10" s="11">
        <f>"P-"&amp;TEXT(ROW()-4,"000")</f>
        <v/>
      </c>
      <c r="B10" s="4" t="n">
        <v>46305</v>
      </c>
      <c r="C10" s="10" t="inlineStr">
        <is>
          <t>Salman Distributors</t>
        </is>
      </c>
      <c r="D10" s="10" t="inlineStr">
        <is>
          <t>Pamphlets</t>
        </is>
      </c>
      <c r="E10" s="10" t="n">
        <v>10000</v>
      </c>
      <c r="F10" s="10" t="n">
        <v>4</v>
      </c>
      <c r="G10" s="10" t="n">
        <v>2</v>
      </c>
      <c r="H10" s="10" t="n">
        <v>1</v>
      </c>
      <c r="I10" s="10" t="inlineStr">
        <is>
          <t>Maplitho 70 gsm</t>
        </is>
      </c>
      <c r="J10" s="10" t="inlineStr">
        <is>
          <t>No</t>
        </is>
      </c>
      <c r="K10" s="10" t="inlineStr">
        <is>
          <t>No</t>
        </is>
      </c>
      <c r="L10" s="10" t="n">
        <v>3</v>
      </c>
      <c r="M10" s="12">
        <f>B10+L10</f>
        <v/>
      </c>
      <c r="N10" s="11">
        <f>ROUNDUP(ROUNDUP(E10/F10,0)*(1+Setup!$B$6),0)</f>
        <v/>
      </c>
      <c r="O10" s="13">
        <f>ROUND(N10*_xlfn.XLOOKUP(I10,Setup!$A$13:$A$15,Setup!$B$13:$B$15,0),2)</f>
        <v/>
      </c>
      <c r="P10" s="14">
        <f>G10*H10*Setup!$B$4</f>
        <v/>
      </c>
      <c r="Q10" s="14">
        <f>ROUNDUP(MAX(1000,N10)/1000,0)*G10*H10*Setup!$B$5</f>
        <v/>
      </c>
      <c r="R10" s="14">
        <f>IF(J10="Yes",N10*Setup!$B$7,0)+IF(K10="Yes",E10*Setup!$B$8,0)</f>
        <v/>
      </c>
      <c r="S10" s="13">
        <f>O10+P10+Q10+R10</f>
        <v/>
      </c>
      <c r="T10" s="14">
        <f>ROUND(S10*(1+Setup!$B$9),0)</f>
        <v/>
      </c>
      <c r="U10" s="14">
        <f>ROUND(T10*(1+Setup!$B$10),0)</f>
        <v/>
      </c>
      <c r="V10" s="5" t="n">
        <v>5000</v>
      </c>
      <c r="W10" s="4" t="n">
        <v>46309</v>
      </c>
      <c r="X10" s="11">
        <f>IF(W10&lt;&gt;"","Delivered",IF(M10&lt;Setup!$B$3,"Overdue","In press"))</f>
        <v/>
      </c>
      <c r="Y10" s="13">
        <f>T10-S10</f>
        <v/>
      </c>
    </row>
    <row r="11">
      <c r="A11" s="11">
        <f>"P-"&amp;TEXT(ROW()-4,"000")</f>
        <v/>
      </c>
      <c r="B11" s="4" t="n">
        <v>46308</v>
      </c>
      <c r="C11" s="10" t="inlineStr">
        <is>
          <t>Rani Beauty Parlour</t>
        </is>
      </c>
      <c r="D11" s="10" t="inlineStr">
        <is>
          <t>Visiting cards</t>
        </is>
      </c>
      <c r="E11" s="10" t="n">
        <v>500</v>
      </c>
      <c r="F11" s="10" t="n">
        <v>12</v>
      </c>
      <c r="G11" s="10" t="n">
        <v>4</v>
      </c>
      <c r="H11" s="10" t="n">
        <v>2</v>
      </c>
      <c r="I11" s="10" t="inlineStr">
        <is>
          <t>Art card 300 gsm</t>
        </is>
      </c>
      <c r="J11" s="10" t="inlineStr">
        <is>
          <t>Yes</t>
        </is>
      </c>
      <c r="K11" s="10" t="inlineStr">
        <is>
          <t>No</t>
        </is>
      </c>
      <c r="L11" s="10" t="n">
        <v>3</v>
      </c>
      <c r="M11" s="12">
        <f>B11+L11</f>
        <v/>
      </c>
      <c r="N11" s="11">
        <f>ROUNDUP(ROUNDUP(E11/F11,0)*(1+Setup!$B$6),0)</f>
        <v/>
      </c>
      <c r="O11" s="13">
        <f>ROUND(N11*_xlfn.XLOOKUP(I11,Setup!$A$13:$A$15,Setup!$B$13:$B$15,0),2)</f>
        <v/>
      </c>
      <c r="P11" s="14">
        <f>G11*H11*Setup!$B$4</f>
        <v/>
      </c>
      <c r="Q11" s="14">
        <f>ROUNDUP(MAX(1000,N11)/1000,0)*G11*H11*Setup!$B$5</f>
        <v/>
      </c>
      <c r="R11" s="14">
        <f>IF(J11="Yes",N11*Setup!$B$7,0)+IF(K11="Yes",E11*Setup!$B$8,0)</f>
        <v/>
      </c>
      <c r="S11" s="13">
        <f>O11+P11+Q11+R11</f>
        <v/>
      </c>
      <c r="T11" s="14">
        <f>ROUND(S11*(1+Setup!$B$9),0)</f>
        <v/>
      </c>
      <c r="U11" s="14">
        <f>ROUND(T11*(1+Setup!$B$10),0)</f>
        <v/>
      </c>
      <c r="V11" s="5" t="n">
        <v>500</v>
      </c>
      <c r="W11" s="4" t="n"/>
      <c r="X11" s="11">
        <f>IF(W11&lt;&gt;"","Delivered",IF(M11&lt;Setup!$B$3,"Overdue","In press"))</f>
        <v/>
      </c>
      <c r="Y11" s="13">
        <f>T11-S11</f>
        <v/>
      </c>
    </row>
    <row r="12">
      <c r="A12" s="11">
        <f>"P-"&amp;TEXT(ROW()-4,"000")</f>
        <v/>
      </c>
      <c r="B12" s="4" t="n">
        <v>46310</v>
      </c>
      <c r="C12" s="10" t="inlineStr">
        <is>
          <t>Amir Logistics</t>
        </is>
      </c>
      <c r="D12" s="10" t="inlineStr">
        <is>
          <t>Brochures</t>
        </is>
      </c>
      <c r="E12" s="10" t="n">
        <v>1000</v>
      </c>
      <c r="F12" s="10" t="n">
        <v>2</v>
      </c>
      <c r="G12" s="10" t="n">
        <v>4</v>
      </c>
      <c r="H12" s="10" t="n">
        <v>2</v>
      </c>
      <c r="I12" s="10" t="inlineStr">
        <is>
          <t>Art paper 130 gsm</t>
        </is>
      </c>
      <c r="J12" s="10" t="inlineStr">
        <is>
          <t>No</t>
        </is>
      </c>
      <c r="K12" s="10" t="inlineStr">
        <is>
          <t>No</t>
        </is>
      </c>
      <c r="L12" s="10" t="n">
        <v>5</v>
      </c>
      <c r="M12" s="12">
        <f>B12+L12</f>
        <v/>
      </c>
      <c r="N12" s="11">
        <f>ROUNDUP(ROUNDUP(E12/F12,0)*(1+Setup!$B$6),0)</f>
        <v/>
      </c>
      <c r="O12" s="13">
        <f>ROUND(N12*_xlfn.XLOOKUP(I12,Setup!$A$13:$A$15,Setup!$B$13:$B$15,0),2)</f>
        <v/>
      </c>
      <c r="P12" s="14">
        <f>G12*H12*Setup!$B$4</f>
        <v/>
      </c>
      <c r="Q12" s="14">
        <f>ROUNDUP(MAX(1000,N12)/1000,0)*G12*H12*Setup!$B$5</f>
        <v/>
      </c>
      <c r="R12" s="14">
        <f>IF(J12="Yes",N12*Setup!$B$7,0)+IF(K12="Yes",E12*Setup!$B$8,0)</f>
        <v/>
      </c>
      <c r="S12" s="13">
        <f>O12+P12+Q12+R12</f>
        <v/>
      </c>
      <c r="T12" s="14">
        <f>ROUND(S12*(1+Setup!$B$9),0)</f>
        <v/>
      </c>
      <c r="U12" s="14">
        <f>ROUND(T12*(1+Setup!$B$10),0)</f>
        <v/>
      </c>
      <c r="V12" s="5" t="n">
        <v>2500</v>
      </c>
      <c r="W12" s="4" t="n"/>
      <c r="X12" s="11">
        <f>IF(W12&lt;&gt;"","Delivered",IF(M12&lt;Setup!$B$3,"Overdue","In press"))</f>
        <v/>
      </c>
      <c r="Y12" s="13">
        <f>T12-S12</f>
        <v/>
      </c>
    </row>
  </sheetData>
  <conditionalFormatting sqref="A5:Y12">
    <cfRule type="expression" priority="1" dxfId="0">
      <formula>$X5="Overdue"</formula>
    </cfRule>
  </conditionalFormatting>
  <dataValidations count="3">
    <dataValidation sqref="D5:D500" showDropDown="0" showInputMessage="0" showErrorMessage="1" allowBlank="1" errorTitle="Not in the list" error="Pick a value from the list" type="list">
      <formula1>=Setup!$D$13:$D$17</formula1>
    </dataValidation>
    <dataValidation sqref="I5:I500" showDropDown="0" showInputMessage="0" showErrorMessage="1" allowBlank="1" errorTitle="Not in the list" error="Pick a value from the list" type="list">
      <formula1>=Setup!$A$13:$A$15</formula1>
    </dataValidation>
    <dataValidation sqref="J5:K500" showDropDown="0" showInputMessage="0" showErrorMessage="1" allowBlank="1" errorTitle="Not in the list" error="Pick a value from the list" type="list">
      <formula1>"Yes,No"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</cols>
  <sheetData>
    <row r="1">
      <c r="A1" s="1" t="inlineStr">
        <is>
          <t>Printable quotation</t>
        </is>
      </c>
    </row>
    <row r="2">
      <c r="A2" s="2" t="inlineStr">
        <is>
          <t>Type a job number in B4. Print A1:C18.</t>
        </is>
      </c>
    </row>
    <row r="3">
      <c r="A3" s="3" t="inlineStr">
        <is>
          <t>Shahrukh Printers, Nashik</t>
        </is>
      </c>
    </row>
    <row r="4">
      <c r="A4" s="3" t="inlineStr">
        <is>
          <t>Job no</t>
        </is>
      </c>
      <c r="B4" s="10" t="inlineStr">
        <is>
          <t>P-004</t>
        </is>
      </c>
    </row>
    <row r="6">
      <c r="A6" s="3" t="inlineStr">
        <is>
          <t>Customer</t>
        </is>
      </c>
      <c r="B6" s="11">
        <f>_xlfn.XLOOKUP($B$4,Jobs!$A$5:$A$500,Jobs!$C$5:$C$500,"Not found")</f>
        <v/>
      </c>
    </row>
    <row r="7">
      <c r="A7" s="3" t="inlineStr">
        <is>
          <t>Job</t>
        </is>
      </c>
      <c r="B7" s="11">
        <f>_xlfn.XLOOKUP($B$4,Jobs!$A$5:$A$500,Jobs!$D$5:$D$500,"Not found")</f>
        <v/>
      </c>
    </row>
    <row r="8">
      <c r="A8" s="3" t="inlineStr">
        <is>
          <t>Quantity</t>
        </is>
      </c>
      <c r="B8" s="15">
        <f>_xlfn.XLOOKUP($B$4,Jobs!$A$5:$A$500,Jobs!$E$5:$E$500,"Not found")</f>
        <v/>
      </c>
    </row>
    <row r="9">
      <c r="A9" s="3" t="inlineStr">
        <is>
          <t>Paper</t>
        </is>
      </c>
      <c r="B9" s="11">
        <f>_xlfn.XLOOKUP($B$4,Jobs!$A$5:$A$500,Jobs!$I$5:$I$500,"Not found")</f>
        <v/>
      </c>
    </row>
    <row r="10">
      <c r="A10" s="3" t="inlineStr">
        <is>
          <t>Colours</t>
        </is>
      </c>
      <c r="B10" s="11">
        <f>_xlfn.XLOOKUP($B$4,Jobs!$A$5:$A$500,Jobs!$G$5:$G$500,"Not found")</f>
        <v/>
      </c>
    </row>
    <row r="11">
      <c r="A11" s="3" t="inlineStr">
        <is>
          <t>Sides</t>
        </is>
      </c>
      <c r="B11" s="11">
        <f>_xlfn.XLOOKUP($B$4,Jobs!$A$5:$A$500,Jobs!$H$5:$H$500,"Not found")</f>
        <v/>
      </c>
    </row>
    <row r="12">
      <c r="A12" s="3" t="inlineStr">
        <is>
          <t>Lamination</t>
        </is>
      </c>
      <c r="B12" s="11">
        <f>_xlfn.XLOOKUP($B$4,Jobs!$A$5:$A$500,Jobs!$J$5:$J$500,"Not found")</f>
        <v/>
      </c>
    </row>
    <row r="13">
      <c r="A13" s="3" t="inlineStr">
        <is>
          <t>Price before GST (₹)</t>
        </is>
      </c>
      <c r="B13" s="14">
        <f>_xlfn.XLOOKUP($B$4,Jobs!$A$5:$A$500,Jobs!$T$5:$T$500,"Not found")</f>
        <v/>
      </c>
    </row>
    <row r="14">
      <c r="A14" s="3" t="inlineStr">
        <is>
          <t>Price with GST (₹)</t>
        </is>
      </c>
      <c r="B14" s="14">
        <f>_xlfn.XLOOKUP($B$4,Jobs!$A$5:$A$500,Jobs!$U$5:$U$500,"Not found")</f>
        <v/>
      </c>
    </row>
    <row r="15">
      <c r="A15" s="3" t="inlineStr">
        <is>
          <t>Delivery by</t>
        </is>
      </c>
      <c r="B15" s="12">
        <f>_xlfn.XLOOKUP($B$4,Jobs!$A$5:$A$500,Jobs!$M$5:$M$500,"Not found")</f>
        <v/>
      </c>
    </row>
    <row r="16">
      <c r="A16" s="3" t="inlineStr">
        <is>
          <t>Price per piece (₹)</t>
        </is>
      </c>
      <c r="B16" s="13">
        <f>B13/B8</f>
        <v/>
      </c>
    </row>
    <row r="18">
      <c r="A18" t="inlineStr">
        <is>
          <t>50% advance with artwork approval. Proof to be signed before printing.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8" customWidth="1" min="2" max="2"/>
    <col width="18" customWidth="1" min="3" max="3"/>
    <col width="11" customWidth="1" min="4" max="4"/>
    <col width="11" customWidth="1" min="5" max="5"/>
    <col width="10" customWidth="1" min="6" max="6"/>
  </cols>
  <sheetData>
    <row r="1">
      <c r="A1" s="1" t="inlineStr">
        <is>
          <t>Job type report</t>
        </is>
      </c>
    </row>
    <row r="2">
      <c r="A2" s="2" t="inlineStr">
        <is>
          <t>Quoted value, cost and profit by job type.</t>
        </is>
      </c>
    </row>
    <row r="4">
      <c r="A4" s="8" t="inlineStr">
        <is>
          <t>Job type</t>
        </is>
      </c>
      <c r="B4" s="8" t="inlineStr">
        <is>
          <t>Jobs</t>
        </is>
      </c>
      <c r="C4" s="8" t="inlineStr">
        <is>
          <t>Quote before GST (₹)</t>
        </is>
      </c>
      <c r="D4" s="8" t="inlineStr">
        <is>
          <t>Cost (₹)</t>
        </is>
      </c>
      <c r="E4" s="8" t="inlineStr">
        <is>
          <t>Profit (₹)</t>
        </is>
      </c>
      <c r="F4" s="8" t="inlineStr">
        <is>
          <t>Open jobs</t>
        </is>
      </c>
    </row>
    <row r="5">
      <c r="A5" s="11">
        <f>Setup!D13</f>
        <v/>
      </c>
      <c r="B5" s="11">
        <f>COUNTIF(Jobs!$D$5:$D$500,A5)</f>
        <v/>
      </c>
      <c r="C5" s="14">
        <f>SUMIFS(Jobs!$T$5:$T$500,Jobs!$D$5:$D$500,A5)</f>
        <v/>
      </c>
      <c r="D5" s="14">
        <f>SUMIFS(Jobs!$S$5:$S$500,Jobs!$D$5:$D$500,A5)</f>
        <v/>
      </c>
      <c r="E5" s="14">
        <f>C5-D5</f>
        <v/>
      </c>
      <c r="F5" s="11">
        <f>COUNTIFS(Jobs!$D$5:$D$500,A5,Jobs!$X$5:$X$500,"&lt;&gt;Delivered")</f>
        <v/>
      </c>
    </row>
    <row r="6">
      <c r="A6" s="11">
        <f>Setup!D14</f>
        <v/>
      </c>
      <c r="B6" s="11">
        <f>COUNTIF(Jobs!$D$5:$D$500,A6)</f>
        <v/>
      </c>
      <c r="C6" s="14">
        <f>SUMIFS(Jobs!$T$5:$T$500,Jobs!$D$5:$D$500,A6)</f>
        <v/>
      </c>
      <c r="D6" s="14">
        <f>SUMIFS(Jobs!$S$5:$S$500,Jobs!$D$5:$D$500,A6)</f>
        <v/>
      </c>
      <c r="E6" s="14">
        <f>C6-D6</f>
        <v/>
      </c>
      <c r="F6" s="11">
        <f>COUNTIFS(Jobs!$D$5:$D$500,A6,Jobs!$X$5:$X$500,"&lt;&gt;Delivered")</f>
        <v/>
      </c>
    </row>
    <row r="7">
      <c r="A7" s="11">
        <f>Setup!D15</f>
        <v/>
      </c>
      <c r="B7" s="11">
        <f>COUNTIF(Jobs!$D$5:$D$500,A7)</f>
        <v/>
      </c>
      <c r="C7" s="14">
        <f>SUMIFS(Jobs!$T$5:$T$500,Jobs!$D$5:$D$500,A7)</f>
        <v/>
      </c>
      <c r="D7" s="14">
        <f>SUMIFS(Jobs!$S$5:$S$500,Jobs!$D$5:$D$500,A7)</f>
        <v/>
      </c>
      <c r="E7" s="14">
        <f>C7-D7</f>
        <v/>
      </c>
      <c r="F7" s="11">
        <f>COUNTIFS(Jobs!$D$5:$D$500,A7,Jobs!$X$5:$X$500,"&lt;&gt;Delivered")</f>
        <v/>
      </c>
    </row>
    <row r="8">
      <c r="A8" s="11">
        <f>Setup!D16</f>
        <v/>
      </c>
      <c r="B8" s="11">
        <f>COUNTIF(Jobs!$D$5:$D$500,A8)</f>
        <v/>
      </c>
      <c r="C8" s="14">
        <f>SUMIFS(Jobs!$T$5:$T$500,Jobs!$D$5:$D$500,A8)</f>
        <v/>
      </c>
      <c r="D8" s="14">
        <f>SUMIFS(Jobs!$S$5:$S$500,Jobs!$D$5:$D$500,A8)</f>
        <v/>
      </c>
      <c r="E8" s="14">
        <f>C8-D8</f>
        <v/>
      </c>
      <c r="F8" s="11">
        <f>COUNTIFS(Jobs!$D$5:$D$500,A8,Jobs!$X$5:$X$500,"&lt;&gt;Delivered")</f>
        <v/>
      </c>
    </row>
    <row r="9">
      <c r="A9" s="11">
        <f>Setup!D17</f>
        <v/>
      </c>
      <c r="B9" s="11">
        <f>COUNTIF(Jobs!$D$5:$D$500,A9)</f>
        <v/>
      </c>
      <c r="C9" s="14">
        <f>SUMIFS(Jobs!$T$5:$T$500,Jobs!$D$5:$D$500,A9)</f>
        <v/>
      </c>
      <c r="D9" s="14">
        <f>SUMIFS(Jobs!$S$5:$S$500,Jobs!$D$5:$D$500,A9)</f>
        <v/>
      </c>
      <c r="E9" s="14">
        <f>C9-D9</f>
        <v/>
      </c>
      <c r="F9" s="11">
        <f>COUNTIFS(Jobs!$D$5:$D$500,A9,Jobs!$X$5:$X$500,"&lt;&gt;Delivered")</f>
        <v/>
      </c>
    </row>
    <row r="10">
      <c r="A10" s="16" t="inlineStr">
        <is>
          <t>Total</t>
        </is>
      </c>
      <c r="B10" s="16">
        <f>SUM(B5:B9)</f>
        <v/>
      </c>
      <c r="C10" s="17">
        <f>SUM(C5:C9)</f>
        <v/>
      </c>
      <c r="D10" s="17">
        <f>SUM(D5:D9)</f>
        <v/>
      </c>
      <c r="E10" s="17">
        <f>SUM(E5:E9)</f>
        <v/>
      </c>
      <c r="F10" s="16">
        <f>SUM(F5:F9)</f>
        <v/>
      </c>
    </row>
    <row r="12">
      <c r="A12" s="8" t="inlineStr">
        <is>
          <t>Cost part</t>
        </is>
      </c>
      <c r="B12" s="8" t="inlineStr">
        <is>
          <t>Amount (₹)</t>
        </is>
      </c>
    </row>
    <row r="13">
      <c r="A13" s="18" t="inlineStr">
        <is>
          <t>Paper</t>
        </is>
      </c>
      <c r="B13" s="14">
        <f>SUM(Jobs!$O$5:$O$500)</f>
        <v/>
      </c>
    </row>
    <row r="14">
      <c r="A14" s="18" t="inlineStr">
        <is>
          <t>Plates</t>
        </is>
      </c>
      <c r="B14" s="14">
        <f>SUM(Jobs!$P$5:$P$500)</f>
        <v/>
      </c>
    </row>
    <row r="15">
      <c r="A15" s="18" t="inlineStr">
        <is>
          <t>Printing</t>
        </is>
      </c>
      <c r="B15" s="14">
        <f>SUM(Jobs!$Q$5:$Q$500)</f>
        <v/>
      </c>
    </row>
    <row r="16">
      <c r="A16" s="18" t="inlineStr">
        <is>
          <t>Finishing</t>
        </is>
      </c>
      <c r="B16" s="14">
        <f>SUM(Jobs!$R$5:$R$500)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>
      <c r="A1" s="1" t="inlineStr">
        <is>
          <t>Press dashboard: October 2026</t>
        </is>
      </c>
    </row>
    <row r="2">
      <c r="A2" s="2" t="inlineStr">
        <is>
          <t>Formulas over Jobs and Report.</t>
        </is>
      </c>
    </row>
    <row r="4" ht="32" customHeight="1">
      <c r="A4" s="8" t="inlineStr">
        <is>
          <t>Jobs</t>
        </is>
      </c>
      <c r="B4" s="8" t="inlineStr">
        <is>
          <t>Quoted before GST</t>
        </is>
      </c>
      <c r="C4" s="8" t="inlineStr">
        <is>
          <t>Profit</t>
        </is>
      </c>
      <c r="D4" s="8" t="inlineStr">
        <is>
          <t>Overdue jobs</t>
        </is>
      </c>
      <c r="E4" s="8" t="inlineStr">
        <is>
          <t>Balance on open jobs</t>
        </is>
      </c>
      <c r="F4" s="8" t="inlineStr">
        <is>
          <t>Paper share of cost</t>
        </is>
      </c>
    </row>
    <row r="5" ht="30" customHeight="1">
      <c r="A5" s="19">
        <f>COUNTA(Jobs!$C$5:$C$500)</f>
        <v/>
      </c>
      <c r="B5" s="20">
        <f>Report!C10</f>
        <v/>
      </c>
      <c r="C5" s="20">
        <f>Report!E10</f>
        <v/>
      </c>
      <c r="D5" s="19">
        <f>COUNTIF(Jobs!$X$5:$X$500,"Overdue")</f>
        <v/>
      </c>
      <c r="E5" s="20">
        <f>SUMIFS(Jobs!$U$5:$U$500,Jobs!$X$5:$X$500,"&lt;&gt;Delivered",Jobs!$C$5:$C$500,"&lt;&gt;")-SUMIFS(Jobs!$V$5:$V$500,Jobs!$X$5:$X$500,"&lt;&gt;Delivered",Jobs!$C$5:$C$500,"&lt;&gt;")</f>
        <v/>
      </c>
      <c r="F5" s="21">
        <f>Report!B13/Report!D10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2026-10-17T06:42:54Z</dcterms:created>
  <dcterms:modified xmlns:dcterms="http://purl.org/dc/terms/" xmlns:xsi="http://www.w3.org/2001/XMLSchema-instance" xsi:type="dcterms:W3CDTF">2026-10-17T06:42:54Z</dcterms:modified>
</cp:coreProperties>
</file>