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ad me" sheetId="1" state="visible" r:id="rId1"/>
    <sheet xmlns:r="http://schemas.openxmlformats.org/officeDocument/2006/relationships" name="Setup" sheetId="2" state="visible" r:id="rId2"/>
    <sheet xmlns:r="http://schemas.openxmlformats.org/officeDocument/2006/relationships" name="Meter readings" sheetId="3" state="visible" r:id="rId3"/>
    <sheet xmlns:r="http://schemas.openxmlformats.org/officeDocument/2006/relationships" name="Collections" sheetId="4" state="visible" r:id="rId4"/>
    <sheet xmlns:r="http://schemas.openxmlformats.org/officeDocument/2006/relationships" name="Tank stock" sheetId="5" state="visible" r:id="rId5"/>
    <sheet xmlns:r="http://schemas.openxmlformats.org/officeDocument/2006/relationships" name="Report" sheetId="6" state="visible" r:id="rId6"/>
    <sheet xmlns:r="http://schemas.openxmlformats.org/officeDocument/2006/relationships" name="Shift sheet" sheetId="7" state="visible" r:id="rId7"/>
    <sheet xmlns:r="http://schemas.openxmlformats.org/officeDocument/2006/relationships" name="Dashboard" sheetId="8" state="visible" r:id="rId8"/>
  </sheets>
  <definedNames>
    <definedName name="_xlnm.Print_Area" localSheetId="6">'Shift sheet'!$A$1:$C$14</definedName>
  </definedNames>
  <calcPr calcId="124519" fullCalcOnLoad="1"/>
</workbook>
</file>

<file path=xl/styles.xml><?xml version="1.0" encoding="utf-8"?>
<styleSheet xmlns="http://schemas.openxmlformats.org/spreadsheetml/2006/main">
  <numFmts count="5">
    <numFmt numFmtId="164" formatCode="yyyy-mm-dd h:mm:ss"/>
    <numFmt numFmtId="165" formatCode="DD-MM-YYYY"/>
    <numFmt numFmtId="166" formatCode="[$₹-4009]#,##,##0;[Red]-[$₹-4009]#,##,##0"/>
    <numFmt numFmtId="167" formatCode="[$₹-4009]#,##,##0.00"/>
    <numFmt numFmtId="168" formatCode="#,##0.0"/>
  </numFmts>
  <fonts count="5">
    <font>
      <name val="Calibri"/>
      <family val="2"/>
      <color theme="1"/>
      <sz val="11"/>
      <scheme val="minor"/>
    </font>
    <font>
      <b val="1"/>
      <color rgb="000B1F33"/>
      <sz val="14"/>
    </font>
    <font>
      <i val="1"/>
      <color rgb="00475569"/>
    </font>
    <font>
      <b val="1"/>
    </font>
    <font>
      <b val="1"/>
      <color rgb="000B1F33"/>
      <sz val="16"/>
    </font>
  </fonts>
  <fills count="6">
    <fill>
      <patternFill/>
    </fill>
    <fill>
      <patternFill patternType="gray125"/>
    </fill>
    <fill>
      <patternFill patternType="solid">
        <fgColor rgb="00FFF4CC"/>
      </patternFill>
    </fill>
    <fill>
      <patternFill patternType="solid">
        <fgColor rgb="00E7F0FA"/>
      </patternFill>
    </fill>
    <fill>
      <patternFill patternType="solid">
        <fgColor rgb="00EAF6EE"/>
      </patternFill>
    </fill>
    <fill>
      <patternFill patternType="solid">
        <fgColor rgb="00DCE9F5"/>
      </patternFill>
    </fill>
  </fills>
  <borders count="2">
    <border>
      <left/>
      <right/>
      <top/>
      <bottom/>
      <diagonal/>
    </border>
    <border>
      <left style="thin">
        <color rgb="00C8C8C8"/>
      </left>
      <right style="thin">
        <color rgb="00C8C8C8"/>
      </right>
      <top style="thin">
        <color rgb="00C8C8C8"/>
      </top>
      <bottom style="thin">
        <color rgb="00C8C8C8"/>
      </bottom>
    </border>
  </borders>
  <cellStyleXfs count="1">
    <xf numFmtId="0" fontId="0" fillId="0" borderId="0"/>
  </cellStyleXfs>
  <cellXfs count="2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165" fontId="0" fillId="2" borderId="1" pivotButton="0" quotePrefix="0" xfId="0"/>
    <xf numFmtId="166" fontId="0" fillId="2" borderId="1" pivotButton="0" quotePrefix="0" xfId="0"/>
    <xf numFmtId="0" fontId="3" fillId="3" borderId="1" applyAlignment="1" pivotButton="0" quotePrefix="0" xfId="0">
      <alignment vertical="top" wrapText="1"/>
    </xf>
    <xf numFmtId="0" fontId="3" fillId="3" borderId="1" pivotButton="0" quotePrefix="0" xfId="0"/>
    <xf numFmtId="0" fontId="0" fillId="2" borderId="1" pivotButton="0" quotePrefix="0" xfId="0"/>
    <xf numFmtId="167" fontId="0" fillId="2" borderId="1" pivotButton="0" quotePrefix="0" xfId="0"/>
    <xf numFmtId="168" fontId="0" fillId="2" borderId="1" pivotButton="0" quotePrefix="0" xfId="0"/>
    <xf numFmtId="168" fontId="0" fillId="4" borderId="1" pivotButton="0" quotePrefix="0" xfId="0"/>
    <xf numFmtId="0" fontId="0" fillId="4" borderId="1" pivotButton="0" quotePrefix="0" xfId="0"/>
    <xf numFmtId="167" fontId="0" fillId="4" borderId="1" pivotButton="0" quotePrefix="0" xfId="0"/>
    <xf numFmtId="166" fontId="0" fillId="4" borderId="1" pivotButton="0" quotePrefix="0" xfId="0"/>
    <xf numFmtId="3" fontId="0" fillId="2" borderId="1" pivotButton="0" quotePrefix="0" xfId="0"/>
    <xf numFmtId="3" fontId="0" fillId="4" borderId="1" pivotButton="0" quotePrefix="0" xfId="0"/>
    <xf numFmtId="10" fontId="0" fillId="4" borderId="1" pivotButton="0" quotePrefix="0" xfId="0"/>
    <xf numFmtId="0" fontId="3" fillId="5" borderId="1" pivotButton="0" quotePrefix="0" xfId="0"/>
    <xf numFmtId="168" fontId="3" fillId="5" borderId="1" pivotButton="0" quotePrefix="0" xfId="0"/>
    <xf numFmtId="167" fontId="3" fillId="5" borderId="1" pivotButton="0" quotePrefix="0" xfId="0"/>
    <xf numFmtId="3" fontId="4" fillId="4" borderId="1" applyAlignment="1" pivotButton="0" quotePrefix="0" xfId="0">
      <alignment horizontal="center"/>
    </xf>
    <xf numFmtId="166" fontId="4" fillId="4" borderId="1" applyAlignment="1" pivotButton="0" quotePrefix="0" xfId="0">
      <alignment horizontal="center"/>
    </xf>
    <xf numFmtId="0" fontId="4" fillId="4" borderId="1" applyAlignment="1" pivotButton="0" quotePrefix="0" xfId="0">
      <alignment horizontal="center"/>
    </xf>
  </cellXfs>
  <cellStyles count="1">
    <cellStyle name="Normal" xfId="0" builtinId="0" hidden="0"/>
  </cellStyles>
  <dxfs count="1">
    <dxf>
      <fill>
        <patternFill patternType="solid">
          <fgColor rgb="00FDECEC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styles" Target="styles.xml" Id="rId9"/><Relationship Type="http://schemas.openxmlformats.org/officeDocument/2006/relationships/theme" Target="theme/theme1.xml" Id="rId10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Litres sold by attendant</a:t>
            </a:r>
          </a:p>
        </rich>
      </tx>
    </title>
    <plotArea>
      <barChart>
        <barDir val="col"/>
        <grouping val="clustered"/>
        <ser>
          <idx val="0"/>
          <order val="0"/>
          <spPr>
            <a:ln xmlns:a="http://schemas.openxmlformats.org/drawingml/2006/main">
              <a:prstDash val="solid"/>
            </a:ln>
          </spPr>
          <cat>
            <numRef>
              <f>'Report'!$A$5:$A$8</f>
            </numRef>
          </cat>
          <val>
            <numRef>
              <f>'Report'!$C$5:$C$8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plotVisOnly val="1"/>
    <dispBlanksAs val="gap"/>
  </chart>
</chartSpace>
</file>

<file path=xl/charts/chart2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Short or excess by attendant (₹)</a:t>
            </a:r>
          </a:p>
        </rich>
      </tx>
    </title>
    <plotArea>
      <barChart>
        <barDir val="col"/>
        <grouping val="clustered"/>
        <ser>
          <idx val="0"/>
          <order val="0"/>
          <spPr>
            <a:ln xmlns:a="http://schemas.openxmlformats.org/drawingml/2006/main">
              <a:prstDash val="solid"/>
            </a:ln>
          </spPr>
          <cat>
            <numRef>
              <f>'Report'!$A$5:$A$8</f>
            </numRef>
          </cat>
          <val>
            <numRef>
              <f>'Report'!$E$5:$E$8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/Relationships>
</file>

<file path=xl/drawings/drawing1.xml><?xml version="1.0" encoding="utf-8"?>
<wsDr xmlns="http://schemas.openxmlformats.org/drawingml/2006/spreadsheetDrawing">
  <oneCellAnchor>
    <from>
      <col>0</col>
      <colOff>0</colOff>
      <row>7</row>
      <rowOff>0</rowOff>
    </from>
    <ext cx="5040000" cy="270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0</col>
      <colOff>0</colOff>
      <row>24</row>
      <rowOff>0</rowOff>
    </from>
    <ext cx="5040000" cy="2700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8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9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Petrol pump shift management system</t>
        </is>
      </c>
    </row>
    <row r="3">
      <c r="A3" t="inlineStr">
        <is>
          <t>Made-up data: every name, amount, shop and date in this file is made up for practice. Replace it with your own.</t>
        </is>
      </c>
    </row>
    <row r="4">
      <c r="A4" t="inlineStr">
        <is>
          <t>Yellow cells are inputs: type over them. Green cells hold formulas: do not type over them. Blue rows are headers and totals.</t>
        </is>
      </c>
    </row>
    <row r="5">
      <c r="A5" t="inlineStr">
        <is>
          <t>From ravindrabagale.com, Excel course, Excel Business Management Systems. By Ravindra Bagale.</t>
        </is>
      </c>
    </row>
    <row r="6">
      <c r="A6" t="inlineStr"/>
    </row>
    <row r="7">
      <c r="A7" t="inlineStr">
        <is>
          <t>Sheets: Setup (rates, nozzles, attendants), Meter readings, Collections, Tank stock, Report, Shift sheet (printable), Dashboard.</t>
        </is>
      </c>
    </row>
    <row r="8">
      <c r="A8" t="inlineStr">
        <is>
          <t>Closing reading of one shift is the opening reading of the next. Type test litres so they are not counted as sales.</t>
        </is>
      </c>
    </row>
    <row r="9">
      <c r="A9" t="inlineStr">
        <is>
          <t>Update the rate on Setup when it changes; keep a new row per day if you need history.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10"/>
  <sheetViews>
    <sheetView workbookViewId="0">
      <selection activeCell="A1" sqref="A1"/>
    </sheetView>
  </sheetViews>
  <sheetFormatPr baseColWidth="8" defaultRowHeight="15"/>
  <cols>
    <col width="20" customWidth="1" min="1" max="1"/>
    <col width="15" customWidth="1" min="2" max="2"/>
    <col width="8" customWidth="1" min="4" max="4"/>
    <col width="9" customWidth="1" min="5" max="5"/>
    <col width="12" customWidth="1" min="7" max="7"/>
  </cols>
  <sheetData>
    <row r="1">
      <c r="A1" s="1" t="inlineStr">
        <is>
          <t>Petrol Pump Shift Management System: Setup (Raja Fuels, Nashik)</t>
        </is>
      </c>
    </row>
    <row r="2">
      <c r="A2" s="2" t="inlineStr">
        <is>
          <t>Made-up meter readings, collections and tank stock for 15 and 16 October 2026. Fuel rates are examples; use the rates of the day.</t>
        </is>
      </c>
    </row>
    <row r="3">
      <c r="A3" s="3" t="inlineStr">
        <is>
          <t>As-of date</t>
        </is>
      </c>
      <c r="B3" s="4" t="n">
        <v>46312</v>
      </c>
    </row>
    <row r="4">
      <c r="A4" s="3" t="inlineStr">
        <is>
          <t>Shortage alert (₹)</t>
        </is>
      </c>
      <c r="B4" s="5" t="n">
        <v>200</v>
      </c>
    </row>
    <row r="6">
      <c r="A6" s="6" t="inlineStr">
        <is>
          <t>Product</t>
        </is>
      </c>
      <c r="B6" s="6" t="inlineStr">
        <is>
          <t>Rate per litre (₹)</t>
        </is>
      </c>
      <c r="D6" s="6" t="inlineStr">
        <is>
          <t>Nozzle</t>
        </is>
      </c>
      <c r="E6" s="6" t="inlineStr">
        <is>
          <t>Product</t>
        </is>
      </c>
      <c r="G6" s="7" t="inlineStr">
        <is>
          <t>Attendants</t>
        </is>
      </c>
    </row>
    <row r="7">
      <c r="A7" s="8" t="inlineStr">
        <is>
          <t>Petrol</t>
        </is>
      </c>
      <c r="B7" s="9" t="n">
        <v>104.2</v>
      </c>
      <c r="D7" s="8" t="inlineStr">
        <is>
          <t>N1</t>
        </is>
      </c>
      <c r="E7" s="8" t="inlineStr">
        <is>
          <t>Petrol</t>
        </is>
      </c>
      <c r="G7" s="8" t="inlineStr">
        <is>
          <t>Amir</t>
        </is>
      </c>
    </row>
    <row r="8">
      <c r="A8" s="8" t="inlineStr">
        <is>
          <t>Diesel</t>
        </is>
      </c>
      <c r="B8" s="9" t="n">
        <v>92.09999999999999</v>
      </c>
      <c r="D8" s="8" t="inlineStr">
        <is>
          <t>N2</t>
        </is>
      </c>
      <c r="E8" s="8" t="inlineStr">
        <is>
          <t>Petrol</t>
        </is>
      </c>
      <c r="G8" s="8" t="inlineStr">
        <is>
          <t>Salman</t>
        </is>
      </c>
    </row>
    <row r="9">
      <c r="D9" s="8" t="inlineStr">
        <is>
          <t>N3</t>
        </is>
      </c>
      <c r="E9" s="8" t="inlineStr">
        <is>
          <t>Diesel</t>
        </is>
      </c>
      <c r="G9" s="8" t="inlineStr">
        <is>
          <t>Raja</t>
        </is>
      </c>
    </row>
    <row r="10">
      <c r="D10" s="8" t="inlineStr">
        <is>
          <t>N4</t>
        </is>
      </c>
      <c r="E10" s="8" t="inlineStr">
        <is>
          <t>Diesel</t>
        </is>
      </c>
      <c r="G10" s="8" t="inlineStr">
        <is>
          <t>Shahrukh</t>
        </is>
      </c>
    </row>
  </sheetData>
  <dataValidations count="1">
    <dataValidation sqref="E7:E10" showDropDown="0" showInputMessage="0" showErrorMessage="1" allowBlank="1" errorTitle="Not in the list" error="Pick a value from the list" type="list">
      <formula1>=$A$7:$A$8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K20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1" customWidth="1" min="1" max="1"/>
    <col width="9" customWidth="1" min="2" max="2"/>
    <col width="7" customWidth="1" min="3" max="3"/>
    <col width="10" customWidth="1" min="4" max="4"/>
    <col width="11" customWidth="1" min="5" max="5"/>
    <col width="11" customWidth="1" min="6" max="6"/>
    <col width="8" customWidth="1" min="7" max="7"/>
    <col width="10" customWidth="1" min="8" max="8"/>
    <col width="8" customWidth="1" min="9" max="9"/>
    <col width="9" customWidth="1" min="10" max="10"/>
    <col width="12" customWidth="1" min="11" max="11"/>
  </cols>
  <sheetData>
    <row r="1">
      <c r="A1" s="1" t="inlineStr">
        <is>
          <t>Meter readings by shift</t>
        </is>
      </c>
    </row>
    <row r="2">
      <c r="A2" s="2" t="inlineStr">
        <is>
          <t>Litres sold = closing − opening − test litres (put back in the tank).</t>
        </is>
      </c>
    </row>
    <row r="4">
      <c r="A4" s="6" t="inlineStr">
        <is>
          <t>Date</t>
        </is>
      </c>
      <c r="B4" s="6" t="inlineStr">
        <is>
          <t>Shift</t>
        </is>
      </c>
      <c r="C4" s="6" t="inlineStr">
        <is>
          <t>Nozzle</t>
        </is>
      </c>
      <c r="D4" s="6" t="inlineStr">
        <is>
          <t>Attendant</t>
        </is>
      </c>
      <c r="E4" s="6" t="inlineStr">
        <is>
          <t>Opening</t>
        </is>
      </c>
      <c r="F4" s="6" t="inlineStr">
        <is>
          <t>Closing</t>
        </is>
      </c>
      <c r="G4" s="6" t="inlineStr">
        <is>
          <t>Test (L)</t>
        </is>
      </c>
      <c r="H4" s="6" t="inlineStr">
        <is>
          <t>Litres sold</t>
        </is>
      </c>
      <c r="I4" s="6" t="inlineStr">
        <is>
          <t>Product</t>
        </is>
      </c>
      <c r="J4" s="6" t="inlineStr">
        <is>
          <t>Rate (₹)</t>
        </is>
      </c>
      <c r="K4" s="6" t="inlineStr">
        <is>
          <t>Amount (₹)</t>
        </is>
      </c>
    </row>
    <row r="5">
      <c r="A5" s="4" t="n">
        <v>46310</v>
      </c>
      <c r="B5" s="8" t="inlineStr">
        <is>
          <t>Morning</t>
        </is>
      </c>
      <c r="C5" s="8" t="inlineStr">
        <is>
          <t>N1</t>
        </is>
      </c>
      <c r="D5" s="8" t="inlineStr">
        <is>
          <t>Amir</t>
        </is>
      </c>
      <c r="E5" s="10" t="n">
        <v>248310</v>
      </c>
      <c r="F5" s="10" t="n">
        <v>248927</v>
      </c>
      <c r="G5" s="8" t="n">
        <v>5</v>
      </c>
      <c r="H5" s="11">
        <f>F5-E5-G5</f>
        <v/>
      </c>
      <c r="I5" s="12">
        <f>_xlfn.XLOOKUP(C5,Setup!$D$7:$D$10,Setup!$E$7:$E$10,"Check nozzle")</f>
        <v/>
      </c>
      <c r="J5" s="13">
        <f>_xlfn.XLOOKUP(I5,Setup!$A$7:$A$8,Setup!$B$7:$B$8,0)</f>
        <v/>
      </c>
      <c r="K5" s="13">
        <f>ROUND(H5*J5,2)</f>
        <v/>
      </c>
    </row>
    <row r="6">
      <c r="A6" s="4" t="n">
        <v>46310</v>
      </c>
      <c r="B6" s="8" t="inlineStr">
        <is>
          <t>Morning</t>
        </is>
      </c>
      <c r="C6" s="8" t="inlineStr">
        <is>
          <t>N2</t>
        </is>
      </c>
      <c r="D6" s="8" t="inlineStr">
        <is>
          <t>Salman</t>
        </is>
      </c>
      <c r="E6" s="10" t="n">
        <v>197420</v>
      </c>
      <c r="F6" s="10" t="n">
        <v>197913</v>
      </c>
      <c r="G6" s="8" t="n">
        <v>5</v>
      </c>
      <c r="H6" s="11">
        <f>F6-E6-G6</f>
        <v/>
      </c>
      <c r="I6" s="12">
        <f>_xlfn.XLOOKUP(C6,Setup!$D$7:$D$10,Setup!$E$7:$E$10,"Check nozzle")</f>
        <v/>
      </c>
      <c r="J6" s="13">
        <f>_xlfn.XLOOKUP(I6,Setup!$A$7:$A$8,Setup!$B$7:$B$8,0)</f>
        <v/>
      </c>
      <c r="K6" s="13">
        <f>ROUND(H6*J6,2)</f>
        <v/>
      </c>
    </row>
    <row r="7">
      <c r="A7" s="4" t="n">
        <v>46310</v>
      </c>
      <c r="B7" s="8" t="inlineStr">
        <is>
          <t>Morning</t>
        </is>
      </c>
      <c r="C7" s="8" t="inlineStr">
        <is>
          <t>N3</t>
        </is>
      </c>
      <c r="D7" s="8" t="inlineStr">
        <is>
          <t>Amir</t>
        </is>
      </c>
      <c r="E7" s="10" t="n">
        <v>412860</v>
      </c>
      <c r="F7" s="10" t="n">
        <v>413770</v>
      </c>
      <c r="G7" s="8" t="n">
        <v>5</v>
      </c>
      <c r="H7" s="11">
        <f>F7-E7-G7</f>
        <v/>
      </c>
      <c r="I7" s="12">
        <f>_xlfn.XLOOKUP(C7,Setup!$D$7:$D$10,Setup!$E$7:$E$10,"Check nozzle")</f>
        <v/>
      </c>
      <c r="J7" s="13">
        <f>_xlfn.XLOOKUP(I7,Setup!$A$7:$A$8,Setup!$B$7:$B$8,0)</f>
        <v/>
      </c>
      <c r="K7" s="13">
        <f>ROUND(H7*J7,2)</f>
        <v/>
      </c>
    </row>
    <row r="8">
      <c r="A8" s="4" t="n">
        <v>46310</v>
      </c>
      <c r="B8" s="8" t="inlineStr">
        <is>
          <t>Morning</t>
        </is>
      </c>
      <c r="C8" s="8" t="inlineStr">
        <is>
          <t>N4</t>
        </is>
      </c>
      <c r="D8" s="8" t="inlineStr">
        <is>
          <t>Salman</t>
        </is>
      </c>
      <c r="E8" s="10" t="n">
        <v>355140</v>
      </c>
      <c r="F8" s="10" t="n">
        <v>355905</v>
      </c>
      <c r="G8" s="8" t="n">
        <v>5</v>
      </c>
      <c r="H8" s="11">
        <f>F8-E8-G8</f>
        <v/>
      </c>
      <c r="I8" s="12">
        <f>_xlfn.XLOOKUP(C8,Setup!$D$7:$D$10,Setup!$E$7:$E$10,"Check nozzle")</f>
        <v/>
      </c>
      <c r="J8" s="13">
        <f>_xlfn.XLOOKUP(I8,Setup!$A$7:$A$8,Setup!$B$7:$B$8,0)</f>
        <v/>
      </c>
      <c r="K8" s="13">
        <f>ROUND(H8*J8,2)</f>
        <v/>
      </c>
    </row>
    <row r="9">
      <c r="A9" s="4" t="n">
        <v>46310</v>
      </c>
      <c r="B9" s="8" t="inlineStr">
        <is>
          <t>Evening</t>
        </is>
      </c>
      <c r="C9" s="8" t="inlineStr">
        <is>
          <t>N1</t>
        </is>
      </c>
      <c r="D9" s="8" t="inlineStr">
        <is>
          <t>Raja</t>
        </is>
      </c>
      <c r="E9" s="10" t="n">
        <v>248927</v>
      </c>
      <c r="F9" s="10" t="n">
        <v>249467</v>
      </c>
      <c r="G9" s="8" t="n">
        <v>0</v>
      </c>
      <c r="H9" s="11">
        <f>F9-E9-G9</f>
        <v/>
      </c>
      <c r="I9" s="12">
        <f>_xlfn.XLOOKUP(C9,Setup!$D$7:$D$10,Setup!$E$7:$E$10,"Check nozzle")</f>
        <v/>
      </c>
      <c r="J9" s="13">
        <f>_xlfn.XLOOKUP(I9,Setup!$A$7:$A$8,Setup!$B$7:$B$8,0)</f>
        <v/>
      </c>
      <c r="K9" s="13">
        <f>ROUND(H9*J9,2)</f>
        <v/>
      </c>
    </row>
    <row r="10">
      <c r="A10" s="4" t="n">
        <v>46310</v>
      </c>
      <c r="B10" s="8" t="inlineStr">
        <is>
          <t>Evening</t>
        </is>
      </c>
      <c r="C10" s="8" t="inlineStr">
        <is>
          <t>N2</t>
        </is>
      </c>
      <c r="D10" s="8" t="inlineStr">
        <is>
          <t>Shahrukh</t>
        </is>
      </c>
      <c r="E10" s="10" t="n">
        <v>197913</v>
      </c>
      <c r="F10" s="10" t="n">
        <v>198433</v>
      </c>
      <c r="G10" s="8" t="n">
        <v>0</v>
      </c>
      <c r="H10" s="11">
        <f>F10-E10-G10</f>
        <v/>
      </c>
      <c r="I10" s="12">
        <f>_xlfn.XLOOKUP(C10,Setup!$D$7:$D$10,Setup!$E$7:$E$10,"Check nozzle")</f>
        <v/>
      </c>
      <c r="J10" s="13">
        <f>_xlfn.XLOOKUP(I10,Setup!$A$7:$A$8,Setup!$B$7:$B$8,0)</f>
        <v/>
      </c>
      <c r="K10" s="13">
        <f>ROUND(H10*J10,2)</f>
        <v/>
      </c>
    </row>
    <row r="11">
      <c r="A11" s="4" t="n">
        <v>46310</v>
      </c>
      <c r="B11" s="8" t="inlineStr">
        <is>
          <t>Evening</t>
        </is>
      </c>
      <c r="C11" s="8" t="inlineStr">
        <is>
          <t>N3</t>
        </is>
      </c>
      <c r="D11" s="8" t="inlineStr">
        <is>
          <t>Raja</t>
        </is>
      </c>
      <c r="E11" s="10" t="n">
        <v>413770</v>
      </c>
      <c r="F11" s="10" t="n">
        <v>414590</v>
      </c>
      <c r="G11" s="8" t="n">
        <v>0</v>
      </c>
      <c r="H11" s="11">
        <f>F11-E11-G11</f>
        <v/>
      </c>
      <c r="I11" s="12">
        <f>_xlfn.XLOOKUP(C11,Setup!$D$7:$D$10,Setup!$E$7:$E$10,"Check nozzle")</f>
        <v/>
      </c>
      <c r="J11" s="13">
        <f>_xlfn.XLOOKUP(I11,Setup!$A$7:$A$8,Setup!$B$7:$B$8,0)</f>
        <v/>
      </c>
      <c r="K11" s="13">
        <f>ROUND(H11*J11,2)</f>
        <v/>
      </c>
    </row>
    <row r="12">
      <c r="A12" s="4" t="n">
        <v>46310</v>
      </c>
      <c r="B12" s="8" t="inlineStr">
        <is>
          <t>Evening</t>
        </is>
      </c>
      <c r="C12" s="8" t="inlineStr">
        <is>
          <t>N4</t>
        </is>
      </c>
      <c r="D12" s="8" t="inlineStr">
        <is>
          <t>Shahrukh</t>
        </is>
      </c>
      <c r="E12" s="10" t="n">
        <v>355905</v>
      </c>
      <c r="F12" s="10" t="n">
        <v>356595</v>
      </c>
      <c r="G12" s="8" t="n">
        <v>0</v>
      </c>
      <c r="H12" s="11">
        <f>F12-E12-G12</f>
        <v/>
      </c>
      <c r="I12" s="12">
        <f>_xlfn.XLOOKUP(C12,Setup!$D$7:$D$10,Setup!$E$7:$E$10,"Check nozzle")</f>
        <v/>
      </c>
      <c r="J12" s="13">
        <f>_xlfn.XLOOKUP(I12,Setup!$A$7:$A$8,Setup!$B$7:$B$8,0)</f>
        <v/>
      </c>
      <c r="K12" s="13">
        <f>ROUND(H12*J12,2)</f>
        <v/>
      </c>
    </row>
    <row r="13">
      <c r="A13" s="4" t="n">
        <v>46311</v>
      </c>
      <c r="B13" s="8" t="inlineStr">
        <is>
          <t>Morning</t>
        </is>
      </c>
      <c r="C13" s="8" t="inlineStr">
        <is>
          <t>N1</t>
        </is>
      </c>
      <c r="D13" s="8" t="inlineStr">
        <is>
          <t>Amir</t>
        </is>
      </c>
      <c r="E13" s="10" t="n">
        <v>249467</v>
      </c>
      <c r="F13" s="10" t="n">
        <v>250127</v>
      </c>
      <c r="G13" s="8" t="n">
        <v>5</v>
      </c>
      <c r="H13" s="11">
        <f>F13-E13-G13</f>
        <v/>
      </c>
      <c r="I13" s="12">
        <f>_xlfn.XLOOKUP(C13,Setup!$D$7:$D$10,Setup!$E$7:$E$10,"Check nozzle")</f>
        <v/>
      </c>
      <c r="J13" s="13">
        <f>_xlfn.XLOOKUP(I13,Setup!$A$7:$A$8,Setup!$B$7:$B$8,0)</f>
        <v/>
      </c>
      <c r="K13" s="13">
        <f>ROUND(H13*J13,2)</f>
        <v/>
      </c>
    </row>
    <row r="14">
      <c r="A14" s="4" t="n">
        <v>46311</v>
      </c>
      <c r="B14" s="8" t="inlineStr">
        <is>
          <t>Morning</t>
        </is>
      </c>
      <c r="C14" s="8" t="inlineStr">
        <is>
          <t>N2</t>
        </is>
      </c>
      <c r="D14" s="8" t="inlineStr">
        <is>
          <t>Salman</t>
        </is>
      </c>
      <c r="E14" s="10" t="n">
        <v>198433</v>
      </c>
      <c r="F14" s="10" t="n">
        <v>198908</v>
      </c>
      <c r="G14" s="8" t="n">
        <v>5</v>
      </c>
      <c r="H14" s="11">
        <f>F14-E14-G14</f>
        <v/>
      </c>
      <c r="I14" s="12">
        <f>_xlfn.XLOOKUP(C14,Setup!$D$7:$D$10,Setup!$E$7:$E$10,"Check nozzle")</f>
        <v/>
      </c>
      <c r="J14" s="13">
        <f>_xlfn.XLOOKUP(I14,Setup!$A$7:$A$8,Setup!$B$7:$B$8,0)</f>
        <v/>
      </c>
      <c r="K14" s="13">
        <f>ROUND(H14*J14,2)</f>
        <v/>
      </c>
    </row>
    <row r="15">
      <c r="A15" s="4" t="n">
        <v>46311</v>
      </c>
      <c r="B15" s="8" t="inlineStr">
        <is>
          <t>Morning</t>
        </is>
      </c>
      <c r="C15" s="8" t="inlineStr">
        <is>
          <t>N3</t>
        </is>
      </c>
      <c r="D15" s="8" t="inlineStr">
        <is>
          <t>Amir</t>
        </is>
      </c>
      <c r="E15" s="10" t="n">
        <v>414590</v>
      </c>
      <c r="F15" s="10" t="n">
        <v>415555</v>
      </c>
      <c r="G15" s="8" t="n">
        <v>5</v>
      </c>
      <c r="H15" s="11">
        <f>F15-E15-G15</f>
        <v/>
      </c>
      <c r="I15" s="12">
        <f>_xlfn.XLOOKUP(C15,Setup!$D$7:$D$10,Setup!$E$7:$E$10,"Check nozzle")</f>
        <v/>
      </c>
      <c r="J15" s="13">
        <f>_xlfn.XLOOKUP(I15,Setup!$A$7:$A$8,Setup!$B$7:$B$8,0)</f>
        <v/>
      </c>
      <c r="K15" s="13">
        <f>ROUND(H15*J15,2)</f>
        <v/>
      </c>
    </row>
    <row r="16">
      <c r="A16" s="4" t="n">
        <v>46311</v>
      </c>
      <c r="B16" s="8" t="inlineStr">
        <is>
          <t>Morning</t>
        </is>
      </c>
      <c r="C16" s="8" t="inlineStr">
        <is>
          <t>N4</t>
        </is>
      </c>
      <c r="D16" s="8" t="inlineStr">
        <is>
          <t>Salman</t>
        </is>
      </c>
      <c r="E16" s="10" t="n">
        <v>356595</v>
      </c>
      <c r="F16" s="10" t="n">
        <v>357335</v>
      </c>
      <c r="G16" s="8" t="n">
        <v>5</v>
      </c>
      <c r="H16" s="11">
        <f>F16-E16-G16</f>
        <v/>
      </c>
      <c r="I16" s="12">
        <f>_xlfn.XLOOKUP(C16,Setup!$D$7:$D$10,Setup!$E$7:$E$10,"Check nozzle")</f>
        <v/>
      </c>
      <c r="J16" s="13">
        <f>_xlfn.XLOOKUP(I16,Setup!$A$7:$A$8,Setup!$B$7:$B$8,0)</f>
        <v/>
      </c>
      <c r="K16" s="13">
        <f>ROUND(H16*J16,2)</f>
        <v/>
      </c>
    </row>
    <row r="17">
      <c r="A17" s="4" t="n">
        <v>46311</v>
      </c>
      <c r="B17" s="8" t="inlineStr">
        <is>
          <t>Evening</t>
        </is>
      </c>
      <c r="C17" s="8" t="inlineStr">
        <is>
          <t>N1</t>
        </is>
      </c>
      <c r="D17" s="8" t="inlineStr">
        <is>
          <t>Raja</t>
        </is>
      </c>
      <c r="E17" s="10" t="n">
        <v>250127</v>
      </c>
      <c r="F17" s="10" t="n">
        <v>250715</v>
      </c>
      <c r="G17" s="8" t="n">
        <v>0</v>
      </c>
      <c r="H17" s="11">
        <f>F17-E17-G17</f>
        <v/>
      </c>
      <c r="I17" s="12">
        <f>_xlfn.XLOOKUP(C17,Setup!$D$7:$D$10,Setup!$E$7:$E$10,"Check nozzle")</f>
        <v/>
      </c>
      <c r="J17" s="13">
        <f>_xlfn.XLOOKUP(I17,Setup!$A$7:$A$8,Setup!$B$7:$B$8,0)</f>
        <v/>
      </c>
      <c r="K17" s="13">
        <f>ROUND(H17*J17,2)</f>
        <v/>
      </c>
    </row>
    <row r="18">
      <c r="A18" s="4" t="n">
        <v>46311</v>
      </c>
      <c r="B18" s="8" t="inlineStr">
        <is>
          <t>Evening</t>
        </is>
      </c>
      <c r="C18" s="8" t="inlineStr">
        <is>
          <t>N2</t>
        </is>
      </c>
      <c r="D18" s="8" t="inlineStr">
        <is>
          <t>Shahrukh</t>
        </is>
      </c>
      <c r="E18" s="10" t="n">
        <v>198908</v>
      </c>
      <c r="F18" s="10" t="n">
        <v>199423</v>
      </c>
      <c r="G18" s="8" t="n">
        <v>0</v>
      </c>
      <c r="H18" s="11">
        <f>F18-E18-G18</f>
        <v/>
      </c>
      <c r="I18" s="12">
        <f>_xlfn.XLOOKUP(C18,Setup!$D$7:$D$10,Setup!$E$7:$E$10,"Check nozzle")</f>
        <v/>
      </c>
      <c r="J18" s="13">
        <f>_xlfn.XLOOKUP(I18,Setup!$A$7:$A$8,Setup!$B$7:$B$8,0)</f>
        <v/>
      </c>
      <c r="K18" s="13">
        <f>ROUND(H18*J18,2)</f>
        <v/>
      </c>
    </row>
    <row r="19">
      <c r="A19" s="4" t="n">
        <v>46311</v>
      </c>
      <c r="B19" s="8" t="inlineStr">
        <is>
          <t>Evening</t>
        </is>
      </c>
      <c r="C19" s="8" t="inlineStr">
        <is>
          <t>N3</t>
        </is>
      </c>
      <c r="D19" s="8" t="inlineStr">
        <is>
          <t>Raja</t>
        </is>
      </c>
      <c r="E19" s="10" t="n">
        <v>415555</v>
      </c>
      <c r="F19" s="10" t="n">
        <v>416425</v>
      </c>
      <c r="G19" s="8" t="n">
        <v>0</v>
      </c>
      <c r="H19" s="11">
        <f>F19-E19-G19</f>
        <v/>
      </c>
      <c r="I19" s="12">
        <f>_xlfn.XLOOKUP(C19,Setup!$D$7:$D$10,Setup!$E$7:$E$10,"Check nozzle")</f>
        <v/>
      </c>
      <c r="J19" s="13">
        <f>_xlfn.XLOOKUP(I19,Setup!$A$7:$A$8,Setup!$B$7:$B$8,0)</f>
        <v/>
      </c>
      <c r="K19" s="13">
        <f>ROUND(H19*J19,2)</f>
        <v/>
      </c>
    </row>
    <row r="20">
      <c r="A20" s="4" t="n">
        <v>46311</v>
      </c>
      <c r="B20" s="8" t="inlineStr">
        <is>
          <t>Evening</t>
        </is>
      </c>
      <c r="C20" s="8" t="inlineStr">
        <is>
          <t>N4</t>
        </is>
      </c>
      <c r="D20" s="8" t="inlineStr">
        <is>
          <t>Shahrukh</t>
        </is>
      </c>
      <c r="E20" s="10" t="n">
        <v>357335</v>
      </c>
      <c r="F20" s="10" t="n">
        <v>358045</v>
      </c>
      <c r="G20" s="8" t="n">
        <v>0</v>
      </c>
      <c r="H20" s="11">
        <f>F20-E20-G20</f>
        <v/>
      </c>
      <c r="I20" s="12">
        <f>_xlfn.XLOOKUP(C20,Setup!$D$7:$D$10,Setup!$E$7:$E$10,"Check nozzle")</f>
        <v/>
      </c>
      <c r="J20" s="13">
        <f>_xlfn.XLOOKUP(I20,Setup!$A$7:$A$8,Setup!$B$7:$B$8,0)</f>
        <v/>
      </c>
      <c r="K20" s="13">
        <f>ROUND(H20*J20,2)</f>
        <v/>
      </c>
    </row>
  </sheetData>
  <dataValidations count="3">
    <dataValidation sqref="C5:C3000" showDropDown="0" showInputMessage="0" showErrorMessage="1" allowBlank="1" errorTitle="Not in the list" error="Pick a value from the list" type="list">
      <formula1>=Setup!$D$7:$D$10</formula1>
    </dataValidation>
    <dataValidation sqref="D5:D3000" showDropDown="0" showInputMessage="0" showErrorMessage="1" allowBlank="1" errorTitle="Not in the list" error="Pick a value from the list" type="list">
      <formula1>=Setup!$G$7:$G$10</formula1>
    </dataValidation>
    <dataValidation sqref="B5:B3000" showDropDown="0" showInputMessage="0" showErrorMessage="1" allowBlank="1" errorTitle="Not in the list" error="Pick a value from the list" type="list">
      <formula1>"Morning,Evening"</formula1>
    </dataValidation>
  </dataValidation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J12"/>
  <sheetViews>
    <sheetView workbookViewId="0">
      <selection activeCell="A1" sqref="A1"/>
    </sheetView>
  </sheetViews>
  <sheetFormatPr baseColWidth="8" defaultRowHeight="15"/>
  <cols>
    <col width="11" customWidth="1" min="1" max="1"/>
    <col width="9" customWidth="1" min="2" max="2"/>
    <col width="10" customWidth="1" min="3" max="3"/>
    <col width="11" customWidth="1" min="4" max="4"/>
    <col width="11" customWidth="1" min="5" max="5"/>
    <col width="11" customWidth="1" min="6" max="6"/>
    <col width="12" customWidth="1" min="7" max="7"/>
    <col width="13" customWidth="1" min="8" max="8"/>
    <col width="14" customWidth="1" min="9" max="9"/>
    <col width="8" customWidth="1" min="10" max="10"/>
  </cols>
  <sheetData>
    <row r="1">
      <c r="A1" s="1" t="inlineStr">
        <is>
          <t>Shift collections</t>
        </is>
      </c>
    </row>
    <row r="2">
      <c r="A2" s="2" t="inlineStr">
        <is>
          <t>Expected = meter sales of the attendant in that shift. Short or excess = collected − expected.</t>
        </is>
      </c>
    </row>
    <row r="4">
      <c r="A4" s="6" t="inlineStr">
        <is>
          <t>Date</t>
        </is>
      </c>
      <c r="B4" s="6" t="inlineStr">
        <is>
          <t>Shift</t>
        </is>
      </c>
      <c r="C4" s="6" t="inlineStr">
        <is>
          <t>Attendant</t>
        </is>
      </c>
      <c r="D4" s="6" t="inlineStr">
        <is>
          <t>Cash (₹)</t>
        </is>
      </c>
      <c r="E4" s="6" t="inlineStr">
        <is>
          <t>UPI (₹)</t>
        </is>
      </c>
      <c r="F4" s="6" t="inlineStr">
        <is>
          <t>Card (₹)</t>
        </is>
      </c>
      <c r="G4" s="6" t="inlineStr">
        <is>
          <t>Collected (₹)</t>
        </is>
      </c>
      <c r="H4" s="6" t="inlineStr">
        <is>
          <t>Expected (₹)</t>
        </is>
      </c>
      <c r="I4" s="6" t="inlineStr">
        <is>
          <t>Short (−) / excess (₹)</t>
        </is>
      </c>
      <c r="J4" s="6" t="inlineStr">
        <is>
          <t>Check</t>
        </is>
      </c>
    </row>
    <row r="5">
      <c r="A5" s="4" t="n">
        <v>46310</v>
      </c>
      <c r="B5" s="8" t="inlineStr">
        <is>
          <t>Morning</t>
        </is>
      </c>
      <c r="C5" s="8" t="inlineStr">
        <is>
          <t>Amir</t>
        </is>
      </c>
      <c r="D5" s="5" t="n">
        <v>48500</v>
      </c>
      <c r="E5" s="5" t="n">
        <v>80900</v>
      </c>
      <c r="F5" s="5" t="n">
        <v>17700</v>
      </c>
      <c r="G5" s="14">
        <f>SUM(D5:F5)</f>
        <v/>
      </c>
      <c r="H5" s="13">
        <f>ROUND(SUMIFS('Meter readings'!$K$5:$K$3000,'Meter readings'!$A$5:$A$3000,A5,'Meter readings'!$B$5:$B$3000,B5,'Meter readings'!$D$5:$D$3000,C5),2)</f>
        <v/>
      </c>
      <c r="I5" s="13">
        <f>ROUND(G5-H5,2)</f>
        <v/>
      </c>
      <c r="J5" s="12">
        <f>IF(I5&lt;-Setup!$B$4,"Short","OK")</f>
        <v/>
      </c>
    </row>
    <row r="6">
      <c r="A6" s="4" t="n">
        <v>46310</v>
      </c>
      <c r="B6" s="8" t="inlineStr">
        <is>
          <t>Morning</t>
        </is>
      </c>
      <c r="C6" s="8" t="inlineStr">
        <is>
          <t>Salman</t>
        </is>
      </c>
      <c r="D6" s="5" t="n">
        <v>39900</v>
      </c>
      <c r="E6" s="5" t="n">
        <v>66500</v>
      </c>
      <c r="F6" s="5" t="n">
        <v>14500</v>
      </c>
      <c r="G6" s="14">
        <f>SUM(D6:F6)</f>
        <v/>
      </c>
      <c r="H6" s="13">
        <f>ROUND(SUMIFS('Meter readings'!$K$5:$K$3000,'Meter readings'!$A$5:$A$3000,A6,'Meter readings'!$B$5:$B$3000,B6,'Meter readings'!$D$5:$D$3000,C6),2)</f>
        <v/>
      </c>
      <c r="I6" s="13">
        <f>ROUND(G6-H6,2)</f>
        <v/>
      </c>
      <c r="J6" s="12">
        <f>IF(I6&lt;-Setup!$B$4,"Short","OK")</f>
        <v/>
      </c>
    </row>
    <row r="7">
      <c r="A7" s="4" t="n">
        <v>46310</v>
      </c>
      <c r="B7" s="8" t="inlineStr">
        <is>
          <t>Evening</t>
        </is>
      </c>
      <c r="C7" s="8" t="inlineStr">
        <is>
          <t>Raja</t>
        </is>
      </c>
      <c r="D7" s="5" t="n">
        <v>43490</v>
      </c>
      <c r="E7" s="5" t="n">
        <v>72500</v>
      </c>
      <c r="F7" s="5" t="n">
        <v>15800</v>
      </c>
      <c r="G7" s="14">
        <f>SUM(D7:F7)</f>
        <v/>
      </c>
      <c r="H7" s="13">
        <f>ROUND(SUMIFS('Meter readings'!$K$5:$K$3000,'Meter readings'!$A$5:$A$3000,A7,'Meter readings'!$B$5:$B$3000,B7,'Meter readings'!$D$5:$D$3000,C7),2)</f>
        <v/>
      </c>
      <c r="I7" s="13">
        <f>ROUND(G7-H7,2)</f>
        <v/>
      </c>
      <c r="J7" s="12">
        <f>IF(I7&lt;-Setup!$B$4,"Short","OK")</f>
        <v/>
      </c>
    </row>
    <row r="8">
      <c r="A8" s="4" t="n">
        <v>46310</v>
      </c>
      <c r="B8" s="8" t="inlineStr">
        <is>
          <t>Evening</t>
        </is>
      </c>
      <c r="C8" s="8" t="inlineStr">
        <is>
          <t>Shahrukh</t>
        </is>
      </c>
      <c r="D8" s="5" t="n">
        <v>38623</v>
      </c>
      <c r="E8" s="5" t="n">
        <v>64400</v>
      </c>
      <c r="F8" s="5" t="n">
        <v>14100</v>
      </c>
      <c r="G8" s="14">
        <f>SUM(D8:F8)</f>
        <v/>
      </c>
      <c r="H8" s="13">
        <f>ROUND(SUMIFS('Meter readings'!$K$5:$K$3000,'Meter readings'!$A$5:$A$3000,A8,'Meter readings'!$B$5:$B$3000,B8,'Meter readings'!$D$5:$D$3000,C8),2)</f>
        <v/>
      </c>
      <c r="I8" s="13">
        <f>ROUND(G8-H8,2)</f>
        <v/>
      </c>
      <c r="J8" s="12">
        <f>IF(I8&lt;-Setup!$B$4,"Short","OK")</f>
        <v/>
      </c>
    </row>
    <row r="9">
      <c r="A9" s="4" t="n">
        <v>46311</v>
      </c>
      <c r="B9" s="8" t="inlineStr">
        <is>
          <t>Morning</t>
        </is>
      </c>
      <c r="C9" s="8" t="inlineStr">
        <is>
          <t>Amir</t>
        </is>
      </c>
      <c r="D9" s="5" t="n">
        <v>51680</v>
      </c>
      <c r="E9" s="5" t="n">
        <v>86200</v>
      </c>
      <c r="F9" s="5" t="n">
        <v>18800</v>
      </c>
      <c r="G9" s="14">
        <f>SUM(D9:F9)</f>
        <v/>
      </c>
      <c r="H9" s="13">
        <f>ROUND(SUMIFS('Meter readings'!$K$5:$K$3000,'Meter readings'!$A$5:$A$3000,A9,'Meter readings'!$B$5:$B$3000,B9,'Meter readings'!$D$5:$D$3000,C9),2)</f>
        <v/>
      </c>
      <c r="I9" s="13">
        <f>ROUND(G9-H9,2)</f>
        <v/>
      </c>
      <c r="J9" s="12">
        <f>IF(I9&lt;-Setup!$B$4,"Short","OK")</f>
        <v/>
      </c>
    </row>
    <row r="10">
      <c r="A10" s="4" t="n">
        <v>46311</v>
      </c>
      <c r="B10" s="8" t="inlineStr">
        <is>
          <t>Morning</t>
        </is>
      </c>
      <c r="C10" s="8" t="inlineStr">
        <is>
          <t>Salman</t>
        </is>
      </c>
      <c r="D10" s="5" t="n">
        <v>38465</v>
      </c>
      <c r="E10" s="5" t="n">
        <v>64200</v>
      </c>
      <c r="F10" s="5" t="n">
        <v>14000</v>
      </c>
      <c r="G10" s="14">
        <f>SUM(D10:F10)</f>
        <v/>
      </c>
      <c r="H10" s="13">
        <f>ROUND(SUMIFS('Meter readings'!$K$5:$K$3000,'Meter readings'!$A$5:$A$3000,A10,'Meter readings'!$B$5:$B$3000,B10,'Meter readings'!$D$5:$D$3000,C10),2)</f>
        <v/>
      </c>
      <c r="I10" s="13">
        <f>ROUND(G10-H10,2)</f>
        <v/>
      </c>
      <c r="J10" s="12">
        <f>IF(I10&lt;-Setup!$B$4,"Short","OK")</f>
        <v/>
      </c>
    </row>
    <row r="11">
      <c r="A11" s="4" t="n">
        <v>46311</v>
      </c>
      <c r="B11" s="8" t="inlineStr">
        <is>
          <t>Evening</t>
        </is>
      </c>
      <c r="C11" s="8" t="inlineStr">
        <is>
          <t>Raja</t>
        </is>
      </c>
      <c r="D11" s="5" t="n">
        <v>46600</v>
      </c>
      <c r="E11" s="5" t="n">
        <v>77800</v>
      </c>
      <c r="F11" s="5" t="n">
        <v>17000</v>
      </c>
      <c r="G11" s="14">
        <f>SUM(D11:F11)</f>
        <v/>
      </c>
      <c r="H11" s="13">
        <f>ROUND(SUMIFS('Meter readings'!$K$5:$K$3000,'Meter readings'!$A$5:$A$3000,A11,'Meter readings'!$B$5:$B$3000,B11,'Meter readings'!$D$5:$D$3000,C11),2)</f>
        <v/>
      </c>
      <c r="I11" s="13">
        <f>ROUND(G11-H11,2)</f>
        <v/>
      </c>
      <c r="J11" s="12">
        <f>IF(I11&lt;-Setup!$B$4,"Short","OK")</f>
        <v/>
      </c>
    </row>
    <row r="12">
      <c r="A12" s="4" t="n">
        <v>46311</v>
      </c>
      <c r="B12" s="8" t="inlineStr">
        <is>
          <t>Evening</t>
        </is>
      </c>
      <c r="C12" s="8" t="inlineStr">
        <is>
          <t>Shahrukh</t>
        </is>
      </c>
      <c r="D12" s="5" t="n">
        <v>39300</v>
      </c>
      <c r="E12" s="5" t="n">
        <v>65500</v>
      </c>
      <c r="F12" s="5" t="n">
        <v>14300</v>
      </c>
      <c r="G12" s="14">
        <f>SUM(D12:F12)</f>
        <v/>
      </c>
      <c r="H12" s="13">
        <f>ROUND(SUMIFS('Meter readings'!$K$5:$K$3000,'Meter readings'!$A$5:$A$3000,A12,'Meter readings'!$B$5:$B$3000,B12,'Meter readings'!$D$5:$D$3000,C12),2)</f>
        <v/>
      </c>
      <c r="I12" s="13">
        <f>ROUND(G12-H12,2)</f>
        <v/>
      </c>
      <c r="J12" s="12">
        <f>IF(I12&lt;-Setup!$B$4,"Short","OK")</f>
        <v/>
      </c>
    </row>
  </sheetData>
  <conditionalFormatting sqref="J5:J12">
    <cfRule type="cellIs" priority="1" operator="equal" dxfId="0">
      <formula>"Short"</formula>
    </cfRule>
  </conditionalFormatting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H6"/>
  <sheetViews>
    <sheetView workbookViewId="0">
      <selection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</cols>
  <sheetData>
    <row r="1">
      <c r="A1" s="1" t="inlineStr">
        <is>
          <t>Tank stock reconciliation, 15 to 16 October</t>
        </is>
      </c>
    </row>
    <row r="2">
      <c r="A2" s="2" t="inlineStr">
        <is>
          <t>Book stock = opening + received − sold. Variance = dip stock − book stock.</t>
        </is>
      </c>
    </row>
    <row r="4">
      <c r="A4" s="6" t="inlineStr">
        <is>
          <t>Product</t>
        </is>
      </c>
      <c r="B4" s="6" t="inlineStr">
        <is>
          <t>Opening stock (L)</t>
        </is>
      </c>
      <c r="C4" s="6" t="inlineStr">
        <is>
          <t>Received (L)</t>
        </is>
      </c>
      <c r="D4" s="6" t="inlineStr">
        <is>
          <t>Sold (L)</t>
        </is>
      </c>
      <c r="E4" s="6" t="inlineStr">
        <is>
          <t>Book stock (L)</t>
        </is>
      </c>
      <c r="F4" s="6" t="inlineStr">
        <is>
          <t>Dip stock (L)</t>
        </is>
      </c>
      <c r="G4" s="6" t="inlineStr">
        <is>
          <t>Variance (L)</t>
        </is>
      </c>
      <c r="H4" s="6" t="inlineStr">
        <is>
          <t>Variance %</t>
        </is>
      </c>
    </row>
    <row r="5">
      <c r="A5" s="12">
        <f>Setup!A7</f>
        <v/>
      </c>
      <c r="B5" s="15" t="n">
        <v>9500</v>
      </c>
      <c r="C5" s="15" t="n">
        <v>4000</v>
      </c>
      <c r="D5" s="16">
        <f>SUMIFS('Meter readings'!$H$5:$H$3000,'Meter readings'!$I$5:$I$3000,A5)</f>
        <v/>
      </c>
      <c r="E5" s="16">
        <f>B5+C5-D5</f>
        <v/>
      </c>
      <c r="F5" s="15" t="n">
        <v>9074</v>
      </c>
      <c r="G5" s="16">
        <f>F5-E5</f>
        <v/>
      </c>
      <c r="H5" s="17">
        <f>G5/D5</f>
        <v/>
      </c>
    </row>
    <row r="6">
      <c r="A6" s="12">
        <f>Setup!A8</f>
        <v/>
      </c>
      <c r="B6" s="15" t="n">
        <v>14200</v>
      </c>
      <c r="C6" s="15" t="n">
        <v>0</v>
      </c>
      <c r="D6" s="16">
        <f>SUMIFS('Meter readings'!$H$5:$H$3000,'Meter readings'!$I$5:$I$3000,A6)</f>
        <v/>
      </c>
      <c r="E6" s="16">
        <f>B6+C6-D6</f>
        <v/>
      </c>
      <c r="F6" s="15" t="n">
        <v>7729</v>
      </c>
      <c r="G6" s="16">
        <f>F6-E6</f>
        <v/>
      </c>
      <c r="H6" s="17">
        <f>G6/D6</f>
        <v/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F8"/>
  <sheetViews>
    <sheetView workbookViewId="0">
      <selection activeCell="A1" sqref="A1"/>
    </sheetView>
  </sheetViews>
  <sheetFormatPr baseColWidth="8" defaultRowHeight="15"/>
  <cols>
    <col width="12" customWidth="1" min="1" max="1"/>
    <col width="8" customWidth="1" min="2" max="2"/>
    <col width="11" customWidth="1" min="3" max="3"/>
    <col width="14" customWidth="1" min="4" max="4"/>
    <col width="16" customWidth="1" min="5" max="5"/>
    <col width="11" customWidth="1" min="6" max="6"/>
  </cols>
  <sheetData>
    <row r="1">
      <c r="A1" s="1" t="inlineStr">
        <is>
          <t>Attendant report</t>
        </is>
      </c>
    </row>
    <row r="2">
      <c r="A2" s="2" t="inlineStr">
        <is>
          <t>Litres and sales from meter readings; short or excess from collections.</t>
        </is>
      </c>
    </row>
    <row r="4">
      <c r="A4" s="6" t="inlineStr">
        <is>
          <t>Attendant</t>
        </is>
      </c>
      <c r="B4" s="6" t="inlineStr">
        <is>
          <t>Shifts</t>
        </is>
      </c>
      <c r="C4" s="6" t="inlineStr">
        <is>
          <t>Litres sold</t>
        </is>
      </c>
      <c r="D4" s="6" t="inlineStr">
        <is>
          <t>Sales (₹)</t>
        </is>
      </c>
      <c r="E4" s="6" t="inlineStr">
        <is>
          <t>Short (−) / excess (₹)</t>
        </is>
      </c>
      <c r="F4" s="6" t="inlineStr">
        <is>
          <t>Short shifts</t>
        </is>
      </c>
    </row>
    <row r="5">
      <c r="A5" s="12">
        <f>Setup!G7</f>
        <v/>
      </c>
      <c r="B5" s="12">
        <f>COUNTIFS(Collections!$C$5:$C$500,A5)</f>
        <v/>
      </c>
      <c r="C5" s="16">
        <f>SUMIFS('Meter readings'!$H$5:$H$3000,'Meter readings'!$D$5:$D$3000,A5)</f>
        <v/>
      </c>
      <c r="D5" s="13">
        <f>ROUND(SUMIFS('Meter readings'!$K$5:$K$3000,'Meter readings'!$D$5:$D$3000,A5),2)</f>
        <v/>
      </c>
      <c r="E5" s="13">
        <f>ROUND(SUMIFS(Collections!$I$5:$I$500,Collections!$C$5:$C$500,A5),2)</f>
        <v/>
      </c>
      <c r="F5" s="12">
        <f>COUNTIFS(Collections!$C$5:$C$500,A5,Collections!$J$5:$J$500,"Short")</f>
        <v/>
      </c>
    </row>
    <row r="6">
      <c r="A6" s="12">
        <f>Setup!G8</f>
        <v/>
      </c>
      <c r="B6" s="12">
        <f>COUNTIFS(Collections!$C$5:$C$500,A6)</f>
        <v/>
      </c>
      <c r="C6" s="16">
        <f>SUMIFS('Meter readings'!$H$5:$H$3000,'Meter readings'!$D$5:$D$3000,A6)</f>
        <v/>
      </c>
      <c r="D6" s="13">
        <f>ROUND(SUMIFS('Meter readings'!$K$5:$K$3000,'Meter readings'!$D$5:$D$3000,A6),2)</f>
        <v/>
      </c>
      <c r="E6" s="13">
        <f>ROUND(SUMIFS(Collections!$I$5:$I$500,Collections!$C$5:$C$500,A6),2)</f>
        <v/>
      </c>
      <c r="F6" s="12">
        <f>COUNTIFS(Collections!$C$5:$C$500,A6,Collections!$J$5:$J$500,"Short")</f>
        <v/>
      </c>
    </row>
    <row r="7">
      <c r="A7" s="12">
        <f>Setup!G9</f>
        <v/>
      </c>
      <c r="B7" s="12">
        <f>COUNTIFS(Collections!$C$5:$C$500,A7)</f>
        <v/>
      </c>
      <c r="C7" s="16">
        <f>SUMIFS('Meter readings'!$H$5:$H$3000,'Meter readings'!$D$5:$D$3000,A7)</f>
        <v/>
      </c>
      <c r="D7" s="13">
        <f>ROUND(SUMIFS('Meter readings'!$K$5:$K$3000,'Meter readings'!$D$5:$D$3000,A7),2)</f>
        <v/>
      </c>
      <c r="E7" s="13">
        <f>ROUND(SUMIFS(Collections!$I$5:$I$500,Collections!$C$5:$C$500,A7),2)</f>
        <v/>
      </c>
      <c r="F7" s="12">
        <f>COUNTIFS(Collections!$C$5:$C$500,A7,Collections!$J$5:$J$500,"Short")</f>
        <v/>
      </c>
    </row>
    <row r="8">
      <c r="A8" s="12">
        <f>Setup!G10</f>
        <v/>
      </c>
      <c r="B8" s="12">
        <f>COUNTIFS(Collections!$C$5:$C$500,A8)</f>
        <v/>
      </c>
      <c r="C8" s="16">
        <f>SUMIFS('Meter readings'!$H$5:$H$3000,'Meter readings'!$D$5:$D$3000,A8)</f>
        <v/>
      </c>
      <c r="D8" s="13">
        <f>ROUND(SUMIFS('Meter readings'!$K$5:$K$3000,'Meter readings'!$D$5:$D$3000,A8),2)</f>
        <v/>
      </c>
      <c r="E8" s="13">
        <f>ROUND(SUMIFS(Collections!$I$5:$I$500,Collections!$C$5:$C$500,A8),2)</f>
        <v/>
      </c>
      <c r="F8" s="12">
        <f>COUNTIFS(Collections!$C$5:$C$500,A8,Collections!$J$5:$J$500,"Short")</f>
        <v/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C14"/>
  <sheetViews>
    <sheetView workbookViewId="0">
      <selection activeCell="A1" sqref="A1"/>
    </sheetView>
  </sheetViews>
  <sheetFormatPr baseColWidth="8" defaultRowHeight="15"/>
  <cols>
    <col width="22" customWidth="1" min="1" max="1"/>
    <col width="13" customWidth="1" min="2" max="2"/>
    <col width="14" customWidth="1" min="3" max="3"/>
  </cols>
  <sheetData>
    <row r="1">
      <c r="A1" s="1" t="inlineStr">
        <is>
          <t>Printable shift sheet</t>
        </is>
      </c>
    </row>
    <row r="2">
      <c r="A2" s="2" t="inlineStr">
        <is>
          <t>Pick a date in B4 and a shift in B5. Print A1:C14.</t>
        </is>
      </c>
    </row>
    <row r="3">
      <c r="A3" s="3" t="inlineStr">
        <is>
          <t>Raja Fuels, Nashik</t>
        </is>
      </c>
    </row>
    <row r="4">
      <c r="A4" s="3" t="inlineStr">
        <is>
          <t>Date</t>
        </is>
      </c>
      <c r="B4" s="4" t="n">
        <v>46311</v>
      </c>
    </row>
    <row r="5">
      <c r="A5" s="3" t="inlineStr">
        <is>
          <t>Shift</t>
        </is>
      </c>
      <c r="B5" s="8" t="inlineStr">
        <is>
          <t>Evening</t>
        </is>
      </c>
    </row>
    <row r="7">
      <c r="A7" s="6" t="inlineStr">
        <is>
          <t>Nozzle</t>
        </is>
      </c>
      <c r="B7" s="6" t="inlineStr">
        <is>
          <t>Litres</t>
        </is>
      </c>
      <c r="C7" s="6" t="inlineStr">
        <is>
          <t>Amount (₹)</t>
        </is>
      </c>
    </row>
    <row r="8">
      <c r="A8" s="12">
        <f>Setup!D7</f>
        <v/>
      </c>
      <c r="B8" s="11">
        <f>SUMIFS('Meter readings'!$H$5:$H$3000,'Meter readings'!$A$5:$A$3000,$B$4,'Meter readings'!$B$5:$B$3000,$B$5,'Meter readings'!$C$5:$C$3000,A8)</f>
        <v/>
      </c>
      <c r="C8" s="13">
        <f>SUMIFS('Meter readings'!$K$5:$K$3000,'Meter readings'!$A$5:$A$3000,$B$4,'Meter readings'!$B$5:$B$3000,$B$5,'Meter readings'!$C$5:$C$3000,A8)</f>
        <v/>
      </c>
    </row>
    <row r="9">
      <c r="A9" s="12">
        <f>Setup!D8</f>
        <v/>
      </c>
      <c r="B9" s="11">
        <f>SUMIFS('Meter readings'!$H$5:$H$3000,'Meter readings'!$A$5:$A$3000,$B$4,'Meter readings'!$B$5:$B$3000,$B$5,'Meter readings'!$C$5:$C$3000,A9)</f>
        <v/>
      </c>
      <c r="C9" s="13">
        <f>SUMIFS('Meter readings'!$K$5:$K$3000,'Meter readings'!$A$5:$A$3000,$B$4,'Meter readings'!$B$5:$B$3000,$B$5,'Meter readings'!$C$5:$C$3000,A9)</f>
        <v/>
      </c>
    </row>
    <row r="10">
      <c r="A10" s="12">
        <f>Setup!D9</f>
        <v/>
      </c>
      <c r="B10" s="11">
        <f>SUMIFS('Meter readings'!$H$5:$H$3000,'Meter readings'!$A$5:$A$3000,$B$4,'Meter readings'!$B$5:$B$3000,$B$5,'Meter readings'!$C$5:$C$3000,A10)</f>
        <v/>
      </c>
      <c r="C10" s="13">
        <f>SUMIFS('Meter readings'!$K$5:$K$3000,'Meter readings'!$A$5:$A$3000,$B$4,'Meter readings'!$B$5:$B$3000,$B$5,'Meter readings'!$C$5:$C$3000,A10)</f>
        <v/>
      </c>
    </row>
    <row r="11">
      <c r="A11" s="12">
        <f>Setup!D10</f>
        <v/>
      </c>
      <c r="B11" s="11">
        <f>SUMIFS('Meter readings'!$H$5:$H$3000,'Meter readings'!$A$5:$A$3000,$B$4,'Meter readings'!$B$5:$B$3000,$B$5,'Meter readings'!$C$5:$C$3000,A11)</f>
        <v/>
      </c>
      <c r="C11" s="13">
        <f>SUMIFS('Meter readings'!$K$5:$K$3000,'Meter readings'!$A$5:$A$3000,$B$4,'Meter readings'!$B$5:$B$3000,$B$5,'Meter readings'!$C$5:$C$3000,A11)</f>
        <v/>
      </c>
    </row>
    <row r="12">
      <c r="A12" s="18" t="inlineStr">
        <is>
          <t>Total</t>
        </is>
      </c>
      <c r="B12" s="19">
        <f>SUM(B8:B11)</f>
        <v/>
      </c>
      <c r="C12" s="20">
        <f>SUM(C8:C11)</f>
        <v/>
      </c>
    </row>
    <row r="13">
      <c r="A13" s="3" t="inlineStr">
        <is>
          <t>Collected (₹)</t>
        </is>
      </c>
      <c r="C13" s="14">
        <f>SUMIFS(Collections!$G$5:$G$500,Collections!$A$5:$A$500,$B$4,Collections!$B$5:$B$500,$B$5)</f>
        <v/>
      </c>
    </row>
    <row r="14">
      <c r="A14" s="3" t="inlineStr">
        <is>
          <t>Short (−) / excess (₹)</t>
        </is>
      </c>
      <c r="C14" s="13">
        <f>ROUND(C13-C12,2)</f>
        <v/>
      </c>
    </row>
  </sheetData>
  <dataValidations count="1">
    <dataValidation sqref="B5" showDropDown="0" showInputMessage="0" showErrorMessage="1" allowBlank="1" errorTitle="Not in the list" error="Pick a value from the list" type="list">
      <formula1>"Morning,Evening"</formula1>
    </dataValidation>
  </dataValidations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F5"/>
  <sheetViews>
    <sheetView workbookViewId="0">
      <selection activeCell="A1" sqref="A1"/>
    </sheetView>
  </sheetViews>
  <sheetFormatPr baseColWidth="8" defaultRowHeight="15"/>
  <cols>
    <col width="17" customWidth="1" min="1" max="1"/>
    <col width="17" customWidth="1" min="2" max="2"/>
    <col width="17" customWidth="1" min="3" max="3"/>
    <col width="17" customWidth="1" min="4" max="4"/>
    <col width="17" customWidth="1" min="5" max="5"/>
    <col width="17" customWidth="1" min="6" max="6"/>
  </cols>
  <sheetData>
    <row r="1">
      <c r="A1" s="1" t="inlineStr">
        <is>
          <t>Pump dashboard: 15 to 16 October 2026</t>
        </is>
      </c>
    </row>
    <row r="2">
      <c r="A2" s="2" t="inlineStr">
        <is>
          <t>Formulas over Meter readings, Collections and Tank stock.</t>
        </is>
      </c>
    </row>
    <row r="4" ht="32" customHeight="1">
      <c r="A4" s="6" t="inlineStr">
        <is>
          <t>Litres sold</t>
        </is>
      </c>
      <c r="B4" s="6" t="inlineStr">
        <is>
          <t>Sales</t>
        </is>
      </c>
      <c r="C4" s="6" t="inlineStr">
        <is>
          <t>Collected</t>
        </is>
      </c>
      <c r="D4" s="6" t="inlineStr">
        <is>
          <t>Net short (−) / excess</t>
        </is>
      </c>
      <c r="E4" s="6" t="inlineStr">
        <is>
          <t>Short shifts</t>
        </is>
      </c>
      <c r="F4" s="6" t="inlineStr">
        <is>
          <t>Tank variance (L)</t>
        </is>
      </c>
    </row>
    <row r="5" ht="30" customHeight="1">
      <c r="A5" s="21">
        <f>SUM('Meter readings'!$H$5:$H$3000)</f>
        <v/>
      </c>
      <c r="B5" s="22">
        <f>SUM('Meter readings'!$K$5:$K$3000)</f>
        <v/>
      </c>
      <c r="C5" s="22">
        <f>SUM(Collections!G5:G12)</f>
        <v/>
      </c>
      <c r="D5" s="22">
        <f>SUM(Collections!I5:I12)</f>
        <v/>
      </c>
      <c r="E5" s="23">
        <f>COUNTIF(Collections!J5:J12,"Short")</f>
        <v/>
      </c>
      <c r="F5" s="21">
        <f>SUM('Tank stock'!G5:G6)</f>
        <v/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2026-10-17T07:13:02Z</dcterms:created>
  <dcterms:modified xmlns:dcterms="http://purl.org/dc/terms/" xmlns:xsi="http://www.w3.org/2001/XMLSchema-instance" xsi:type="dcterms:W3CDTF">2026-10-17T07:13:02Z</dcterms:modified>
</cp:coreProperties>
</file>