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Employees" sheetId="3" state="visible" r:id="rId3"/>
    <sheet xmlns:r="http://schemas.openxmlformats.org/officeDocument/2006/relationships" name="Inputs" sheetId="4" state="visible" r:id="rId4"/>
    <sheet xmlns:r="http://schemas.openxmlformats.org/officeDocument/2006/relationships" name="Payroll" sheetId="5" state="visible" r:id="rId5"/>
    <sheet xmlns:r="http://schemas.openxmlformats.org/officeDocument/2006/relationships" name="Statutory dues" sheetId="6" state="visible" r:id="rId6"/>
    <sheet xmlns:r="http://schemas.openxmlformats.org/officeDocument/2006/relationships" name="Bank transfer" sheetId="7" state="visible" r:id="rId7"/>
    <sheet xmlns:r="http://schemas.openxmlformats.org/officeDocument/2006/relationships" name="Report" sheetId="8" state="visible" r:id="rId8"/>
    <sheet xmlns:r="http://schemas.openxmlformats.org/officeDocument/2006/relationships" name="Dashboard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165" fontId="0" fillId="2" borderId="1" pivotButton="0" quotePrefix="0" xfId="0"/>
    <xf numFmtId="0" fontId="3" fillId="4" borderId="1" pivotButton="0" quotePrefix="0" xfId="0"/>
    <xf numFmtId="0" fontId="0" fillId="3" borderId="1" pivotButton="0" quotePrefix="0" xfId="0"/>
    <xf numFmtId="0" fontId="0" fillId="0" borderId="1" pivotButton="0" quotePrefix="0" xfId="0"/>
    <xf numFmtId="166" fontId="0" fillId="2" borderId="1" pivotButton="0" quotePrefix="0" xfId="0"/>
    <xf numFmtId="167" fontId="0" fillId="2" borderId="1" pivotButton="0" quotePrefix="0" xfId="0"/>
    <xf numFmtId="10" fontId="0" fillId="2" borderId="1" pivotButton="0" quotePrefix="0" xfId="0"/>
    <xf numFmtId="0" fontId="0" fillId="4" borderId="1" pivotButton="0" quotePrefix="0" xfId="0"/>
    <xf numFmtId="0" fontId="3" fillId="4" borderId="1" applyAlignment="1" pivotButton="0" quotePrefix="0" xfId="0">
      <alignment vertical="top" wrapText="1"/>
    </xf>
    <xf numFmtId="166" fontId="0" fillId="3" borderId="1" pivotButton="0" quotePrefix="0" xfId="0"/>
    <xf numFmtId="168" fontId="0" fillId="2" borderId="1" pivotButton="0" quotePrefix="0" xfId="0"/>
    <xf numFmtId="168" fontId="0" fillId="3" borderId="1" pivotButton="0" quotePrefix="0" xfId="0"/>
    <xf numFmtId="166" fontId="3" fillId="3" borderId="1" pivotButton="0" quotePrefix="0" xfId="0"/>
    <xf numFmtId="0" fontId="3" fillId="5" borderId="1" pivotButton="0" quotePrefix="0" xfId="0"/>
    <xf numFmtId="166" fontId="3" fillId="5" borderId="1" pivotButton="0" quotePrefix="0" xfId="0"/>
    <xf numFmtId="167" fontId="0" fillId="3" borderId="1" pivotButton="0" quotePrefix="0" xfId="0"/>
    <xf numFmtId="166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EEEEEE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Employer cost by department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Where the gross goes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'Dashboard'!$H$4:$H$6</f>
            </numRef>
          </cat>
          <val>
            <numRef>
              <f>'Dashboard'!$I$4:$I$6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Payroll calculator with PF, ESI and PT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(month and statutory rates with sources), Employees, Inputs, Payroll, Statutory dues, Bank transfer, Report, Dashboard.</t>
        </is>
      </c>
    </row>
    <row r="8">
      <c r="A8" t="inlineStr">
        <is>
          <t>PF ceiling: ₹25,000 from 17 September 2026 (EPFO). Some employers contribute on the full basic or restrict EPS differently; change the Payroll formulas to match your PF setup.</t>
        </is>
      </c>
    </row>
    <row r="9">
      <c r="A9" t="inlineStr">
        <is>
          <t>Not included: EDLI and PF admin charges, gratuity, bonus law, overtime rules and TDS calculation. Ask your accountant for those.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70" customWidth="1" min="3" max="3"/>
    <col width="13" customWidth="1" min="5" max="5"/>
  </cols>
  <sheetData>
    <row r="1">
      <c r="A1" s="1" t="inlineStr">
        <is>
          <t>Payroll Calculator with PF, ESI and PT: Setup (Bagale Engineering Works, Pune)</t>
        </is>
      </c>
    </row>
    <row r="2">
      <c r="A2" s="2" t="inlineStr">
        <is>
          <t>Real statutory rates with sources; made-up employees. Change the month in B4 (February switches PT to ₹300).</t>
        </is>
      </c>
    </row>
    <row r="3">
      <c r="A3" s="3" t="inlineStr">
        <is>
          <t>Company</t>
        </is>
      </c>
      <c r="B3" s="4" t="inlineStr">
        <is>
          <t>Bagale Engineering Works, Pune</t>
        </is>
      </c>
    </row>
    <row r="4">
      <c r="A4" s="3" t="inlineStr">
        <is>
          <t>Payroll month (first day)</t>
        </is>
      </c>
      <c r="B4" s="5" t="n">
        <v>46296</v>
      </c>
      <c r="E4" s="6" t="inlineStr">
        <is>
          <t>Departments</t>
        </is>
      </c>
    </row>
    <row r="5">
      <c r="A5" s="3" t="inlineStr">
        <is>
          <t>Days in the month</t>
        </is>
      </c>
      <c r="B5" s="7">
        <f>DAY(EOMONTH(B4,0))</f>
        <v/>
      </c>
      <c r="E5" s="4" t="inlineStr">
        <is>
          <t>Production</t>
        </is>
      </c>
    </row>
    <row r="6">
      <c r="E6" s="4" t="inlineStr">
        <is>
          <t>Accounts</t>
        </is>
      </c>
    </row>
    <row r="7">
      <c r="E7" s="4" t="inlineStr">
        <is>
          <t>Sales</t>
        </is>
      </c>
    </row>
    <row r="8">
      <c r="E8" s="4" t="inlineStr">
        <is>
          <t>Stores</t>
        </is>
      </c>
    </row>
    <row r="10">
      <c r="A10" s="6" t="inlineStr">
        <is>
          <t>Statutory rates (checked 17 Oct 2026)</t>
        </is>
      </c>
      <c r="B10" s="6" t="inlineStr">
        <is>
          <t>Value</t>
        </is>
      </c>
      <c r="C10" s="6" t="inlineStr">
        <is>
          <t>Source</t>
        </is>
      </c>
    </row>
    <row r="11">
      <c r="A11" s="8" t="inlineStr">
        <is>
          <t>PF wage ceiling (₹ per month)</t>
        </is>
      </c>
      <c r="B11" s="9" t="n">
        <v>25000</v>
      </c>
      <c r="C11" s="8" t="inlineStr">
        <is>
          <t>EPFO / Ministry of Labour S.O. 5109(E): ₹25,000 from 17 Sep 2026 (was ₹15,000)</t>
        </is>
      </c>
    </row>
    <row r="12">
      <c r="A12" s="8" t="inlineStr">
        <is>
          <t>PF employee share</t>
        </is>
      </c>
      <c r="B12" s="10" t="n">
        <v>0.12</v>
      </c>
      <c r="C12" s="8" t="inlineStr">
        <is>
          <t>EPF: 12% of basic wages (employee) and 12% employer</t>
        </is>
      </c>
    </row>
    <row r="13">
      <c r="A13" s="8" t="inlineStr">
        <is>
          <t>Employer share to EPS (pension)</t>
        </is>
      </c>
      <c r="B13" s="11" t="n">
        <v>0.0833</v>
      </c>
      <c r="C13" s="8" t="inlineStr">
        <is>
          <t>Employer 12% = 8.33% EPS + 3.67% EPF</t>
        </is>
      </c>
    </row>
    <row r="14">
      <c r="A14" s="8" t="inlineStr">
        <is>
          <t>ESI wage ceiling (₹ per month)</t>
        </is>
      </c>
      <c r="B14" s="9" t="n">
        <v>21000</v>
      </c>
      <c r="C14" s="8" t="inlineStr">
        <is>
          <t>esic.gov.in: covered if wages ≤ ₹21,000 (₹25,000 for persons with disability)</t>
        </is>
      </c>
    </row>
    <row r="15">
      <c r="A15" s="8" t="inlineStr">
        <is>
          <t>ESI employee share</t>
        </is>
      </c>
      <c r="B15" s="11" t="n">
        <v>0.0075</v>
      </c>
      <c r="C15" s="8" t="inlineStr">
        <is>
          <t>esic.gov.in: 0.75% employee, rounded up to the next rupee</t>
        </is>
      </c>
    </row>
    <row r="16">
      <c r="A16" s="8" t="inlineStr">
        <is>
          <t>ESI employer share</t>
        </is>
      </c>
      <c r="B16" s="11" t="n">
        <v>0.0325</v>
      </c>
      <c r="C16" s="8" t="inlineStr">
        <is>
          <t>esic.gov.in: 3.25% employer</t>
        </is>
      </c>
    </row>
    <row r="18">
      <c r="A18" s="6" t="inlineStr">
        <is>
          <t>Professional tax, Maharashtra (MAHAGST schedule from 1 Apr 2023)</t>
        </is>
      </c>
      <c r="B18" s="12" t="inlineStr"/>
      <c r="C18" s="12" t="inlineStr"/>
    </row>
    <row r="19">
      <c r="A19" t="inlineStr">
        <is>
          <t>Men: up to ₹7,500 nil; ₹7,501 to ₹10,000 ₹175; above ₹10,000 ₹200 a month and ₹300 in February (₹2,500 a year).</t>
        </is>
      </c>
    </row>
    <row r="20">
      <c r="A20" t="inlineStr">
        <is>
          <t>Women: up to ₹25,000 nil; above ₹25,000 ₹200 a month and ₹300 in February.</t>
        </is>
      </c>
    </row>
    <row r="21">
      <c r="A21" t="inlineStr">
        <is>
          <t>TDS on salary is NOT calculated here: type the monthly TDS your accountant works out from the employee's declaration and regime.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17" customWidth="1" min="4" max="4"/>
    <col width="12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</cols>
  <sheetData>
    <row r="1">
      <c r="A1" s="1" t="inlineStr">
        <is>
          <t>Employee master and salary structure</t>
        </is>
      </c>
    </row>
    <row r="2">
      <c r="A2" s="2" t="inlineStr">
        <is>
          <t>Made-up employees and monthly salary structure (₹ per month at full attendance).</t>
        </is>
      </c>
    </row>
    <row r="4">
      <c r="A4" s="13" t="inlineStr">
        <is>
          <t>Emp ID</t>
        </is>
      </c>
      <c r="B4" s="13" t="inlineStr">
        <is>
          <t>Name</t>
        </is>
      </c>
      <c r="C4" s="13" t="inlineStr">
        <is>
          <t>Gender (M/F)</t>
        </is>
      </c>
      <c r="D4" s="13" t="inlineStr">
        <is>
          <t>Designation</t>
        </is>
      </c>
      <c r="E4" s="13" t="inlineStr">
        <is>
          <t>Department</t>
        </is>
      </c>
      <c r="F4" s="13" t="inlineStr">
        <is>
          <t>Basic</t>
        </is>
      </c>
      <c r="G4" s="13" t="inlineStr">
        <is>
          <t>HRA</t>
        </is>
      </c>
      <c r="H4" s="13" t="inlineStr">
        <is>
          <t>Conveyance</t>
        </is>
      </c>
      <c r="I4" s="13" t="inlineStr">
        <is>
          <t>Special allowance</t>
        </is>
      </c>
      <c r="J4" s="13" t="inlineStr">
        <is>
          <t>Monthly gross</t>
        </is>
      </c>
      <c r="K4" s="13" t="inlineStr">
        <is>
          <t>Bank account</t>
        </is>
      </c>
    </row>
    <row r="5">
      <c r="A5" s="4" t="inlineStr">
        <is>
          <t>E01</t>
        </is>
      </c>
      <c r="B5" s="4" t="inlineStr">
        <is>
          <t>Ravindra Bagale</t>
        </is>
      </c>
      <c r="C5" s="4" t="inlineStr">
        <is>
          <t>M</t>
        </is>
      </c>
      <c r="D5" s="4" t="inlineStr">
        <is>
          <t>Supervisor</t>
        </is>
      </c>
      <c r="E5" s="4" t="inlineStr">
        <is>
          <t>Production</t>
        </is>
      </c>
      <c r="F5" s="9" t="n">
        <v>24000</v>
      </c>
      <c r="G5" s="9" t="n">
        <v>9600</v>
      </c>
      <c r="H5" s="9" t="n">
        <v>1600</v>
      </c>
      <c r="I5" s="9" t="n">
        <v>4800</v>
      </c>
      <c r="J5" s="14">
        <f>SUM(F5:I5)</f>
        <v/>
      </c>
      <c r="K5" s="4" t="inlineStr">
        <is>
          <t>XXXX4821</t>
        </is>
      </c>
    </row>
    <row r="6">
      <c r="A6" s="4" t="inlineStr">
        <is>
          <t>E02</t>
        </is>
      </c>
      <c r="B6" s="4" t="inlineStr">
        <is>
          <t>Shraddha Bagale</t>
        </is>
      </c>
      <c r="C6" s="4" t="inlineStr">
        <is>
          <t>F</t>
        </is>
      </c>
      <c r="D6" s="4" t="inlineStr">
        <is>
          <t>Accountant</t>
        </is>
      </c>
      <c r="E6" s="4" t="inlineStr">
        <is>
          <t>Accounts</t>
        </is>
      </c>
      <c r="F6" s="9" t="n">
        <v>18000</v>
      </c>
      <c r="G6" s="9" t="n">
        <v>7200</v>
      </c>
      <c r="H6" s="9" t="n">
        <v>1600</v>
      </c>
      <c r="I6" s="9" t="n">
        <v>3200</v>
      </c>
      <c r="J6" s="14">
        <f>SUM(F6:I6)</f>
        <v/>
      </c>
      <c r="K6" s="4" t="inlineStr">
        <is>
          <t>XXXX1937</t>
        </is>
      </c>
    </row>
    <row r="7">
      <c r="A7" s="4" t="inlineStr">
        <is>
          <t>E03</t>
        </is>
      </c>
      <c r="B7" s="4" t="inlineStr">
        <is>
          <t>Ruhi Bagale</t>
        </is>
      </c>
      <c r="C7" s="4" t="inlineStr">
        <is>
          <t>F</t>
        </is>
      </c>
      <c r="D7" s="4" t="inlineStr">
        <is>
          <t>Sales executive</t>
        </is>
      </c>
      <c r="E7" s="4" t="inlineStr">
        <is>
          <t>Sales</t>
        </is>
      </c>
      <c r="F7" s="9" t="n">
        <v>11000</v>
      </c>
      <c r="G7" s="9" t="n">
        <v>4400</v>
      </c>
      <c r="H7" s="9" t="n">
        <v>1600</v>
      </c>
      <c r="I7" s="9" t="n">
        <v>1000</v>
      </c>
      <c r="J7" s="14">
        <f>SUM(F7:I7)</f>
        <v/>
      </c>
      <c r="K7" s="4" t="inlineStr">
        <is>
          <t>XXXX6604</t>
        </is>
      </c>
    </row>
    <row r="8">
      <c r="A8" s="4" t="inlineStr">
        <is>
          <t>E04</t>
        </is>
      </c>
      <c r="B8" s="4" t="inlineStr">
        <is>
          <t>Shahrukh</t>
        </is>
      </c>
      <c r="C8" s="4" t="inlineStr">
        <is>
          <t>M</t>
        </is>
      </c>
      <c r="D8" s="4" t="inlineStr">
        <is>
          <t>Machine operator</t>
        </is>
      </c>
      <c r="E8" s="4" t="inlineStr">
        <is>
          <t>Production</t>
        </is>
      </c>
      <c r="F8" s="9" t="n">
        <v>9500</v>
      </c>
      <c r="G8" s="9" t="n">
        <v>3800</v>
      </c>
      <c r="H8" s="9" t="n">
        <v>1200</v>
      </c>
      <c r="I8" s="9" t="n">
        <v>500</v>
      </c>
      <c r="J8" s="14">
        <f>SUM(F8:I8)</f>
        <v/>
      </c>
      <c r="K8" s="4" t="inlineStr">
        <is>
          <t>XXXX2290</t>
        </is>
      </c>
    </row>
    <row r="9">
      <c r="A9" s="4" t="inlineStr">
        <is>
          <t>E05</t>
        </is>
      </c>
      <c r="B9" s="4" t="inlineStr">
        <is>
          <t>Amir</t>
        </is>
      </c>
      <c r="C9" s="4" t="inlineStr">
        <is>
          <t>M</t>
        </is>
      </c>
      <c r="D9" s="4" t="inlineStr">
        <is>
          <t>Machine operator</t>
        </is>
      </c>
      <c r="E9" s="4" t="inlineStr">
        <is>
          <t>Production</t>
        </is>
      </c>
      <c r="F9" s="9" t="n">
        <v>10000</v>
      </c>
      <c r="G9" s="9" t="n">
        <v>4000</v>
      </c>
      <c r="H9" s="9" t="n">
        <v>1200</v>
      </c>
      <c r="I9" s="9" t="n">
        <v>800</v>
      </c>
      <c r="J9" s="14">
        <f>SUM(F9:I9)</f>
        <v/>
      </c>
      <c r="K9" s="4" t="inlineStr">
        <is>
          <t>XXXX7315</t>
        </is>
      </c>
    </row>
    <row r="10">
      <c r="A10" s="4" t="inlineStr">
        <is>
          <t>E06</t>
        </is>
      </c>
      <c r="B10" s="4" t="inlineStr">
        <is>
          <t>Salman</t>
        </is>
      </c>
      <c r="C10" s="4" t="inlineStr">
        <is>
          <t>M</t>
        </is>
      </c>
      <c r="D10" s="4" t="inlineStr">
        <is>
          <t>Storekeeper</t>
        </is>
      </c>
      <c r="E10" s="4" t="inlineStr">
        <is>
          <t>Stores</t>
        </is>
      </c>
      <c r="F10" s="9" t="n">
        <v>8000</v>
      </c>
      <c r="G10" s="9" t="n">
        <v>3200</v>
      </c>
      <c r="H10" s="9" t="n">
        <v>1200</v>
      </c>
      <c r="I10" s="9" t="n">
        <v>0</v>
      </c>
      <c r="J10" s="14">
        <f>SUM(F10:I10)</f>
        <v/>
      </c>
      <c r="K10" s="4" t="inlineStr">
        <is>
          <t>XXXX5048</t>
        </is>
      </c>
    </row>
    <row r="11">
      <c r="A11" s="4" t="inlineStr">
        <is>
          <t>E07</t>
        </is>
      </c>
      <c r="B11" s="4" t="inlineStr">
        <is>
          <t>Zoya</t>
        </is>
      </c>
      <c r="C11" s="4" t="inlineStr">
        <is>
          <t>F</t>
        </is>
      </c>
      <c r="D11" s="4" t="inlineStr">
        <is>
          <t>Sales executive</t>
        </is>
      </c>
      <c r="E11" s="4" t="inlineStr">
        <is>
          <t>Sales</t>
        </is>
      </c>
      <c r="F11" s="9" t="n">
        <v>14000</v>
      </c>
      <c r="G11" s="9" t="n">
        <v>5600</v>
      </c>
      <c r="H11" s="9" t="n">
        <v>1600</v>
      </c>
      <c r="I11" s="9" t="n">
        <v>2800</v>
      </c>
      <c r="J11" s="14">
        <f>SUM(F11:I11)</f>
        <v/>
      </c>
      <c r="K11" s="4" t="inlineStr">
        <is>
          <t>XXXX8862</t>
        </is>
      </c>
    </row>
    <row r="12">
      <c r="A12" s="4" t="inlineStr">
        <is>
          <t>E08</t>
        </is>
      </c>
      <c r="B12" s="4" t="inlineStr">
        <is>
          <t>Ravina</t>
        </is>
      </c>
      <c r="C12" s="4" t="inlineStr">
        <is>
          <t>F</t>
        </is>
      </c>
      <c r="D12" s="4" t="inlineStr">
        <is>
          <t>Billing assistant</t>
        </is>
      </c>
      <c r="E12" s="4" t="inlineStr">
        <is>
          <t>Accounts</t>
        </is>
      </c>
      <c r="F12" s="9" t="n">
        <v>12000</v>
      </c>
      <c r="G12" s="9" t="n">
        <v>4800</v>
      </c>
      <c r="H12" s="9" t="n">
        <v>1600</v>
      </c>
      <c r="I12" s="9" t="n">
        <v>1600</v>
      </c>
      <c r="J12" s="14">
        <f>SUM(F12:I12)</f>
        <v/>
      </c>
      <c r="K12" s="4" t="inlineStr">
        <is>
          <t>XXXX3179</t>
        </is>
      </c>
    </row>
  </sheetData>
  <dataValidations count="2">
    <dataValidation sqref="C5:C40" showDropDown="0" showInputMessage="0" showErrorMessage="1" allowBlank="1" errorTitle="Not in the list" error="Pick a value from the list" type="list">
      <formula1>"M,F"</formula1>
    </dataValidation>
    <dataValidation sqref="E5:E40" showDropDown="0" showInputMessage="0" showErrorMessage="1" allowBlank="1" errorTitle="Not in the list" error="Pick a value from the list" type="list">
      <formula1>=Setup!$E$5:$E$8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10" customWidth="1" min="3" max="3"/>
    <col width="11" customWidth="1" min="4" max="4"/>
    <col width="12" customWidth="1" min="5" max="5"/>
    <col width="14" customWidth="1" min="6" max="6"/>
  </cols>
  <sheetData>
    <row r="1">
      <c r="A1" s="1" t="inlineStr">
        <is>
          <t>Monthly inputs</t>
        </is>
      </c>
    </row>
    <row r="2">
      <c r="A2" s="2" t="inlineStr">
        <is>
          <t>Paid days from attendance; incentive, advance and TDS typed each month.</t>
        </is>
      </c>
    </row>
    <row r="4">
      <c r="A4" s="13" t="inlineStr">
        <is>
          <t>Emp ID</t>
        </is>
      </c>
      <c r="B4" s="13" t="inlineStr">
        <is>
          <t>Name</t>
        </is>
      </c>
      <c r="C4" s="13" t="inlineStr">
        <is>
          <t>Paid days</t>
        </is>
      </c>
      <c r="D4" s="13" t="inlineStr">
        <is>
          <t>Incentive</t>
        </is>
      </c>
      <c r="E4" s="13" t="inlineStr">
        <is>
          <t>Advance recovery</t>
        </is>
      </c>
      <c r="F4" s="13" t="inlineStr">
        <is>
          <t>TDS (from declaration)</t>
        </is>
      </c>
    </row>
    <row r="5">
      <c r="A5" s="7">
        <f>Employees!A5</f>
        <v/>
      </c>
      <c r="B5" s="7">
        <f>_xlfn.XLOOKUP(A5,Employees!$A$5:$A$12,Employees!$B$5:$B$12)</f>
        <v/>
      </c>
      <c r="C5" s="15" t="n">
        <v>31</v>
      </c>
      <c r="D5" s="9" t="n">
        <v>0</v>
      </c>
      <c r="E5" s="9" t="n">
        <v>0</v>
      </c>
      <c r="F5" s="9" t="n">
        <v>1200</v>
      </c>
    </row>
    <row r="6">
      <c r="A6" s="7">
        <f>Employees!A6</f>
        <v/>
      </c>
      <c r="B6" s="7">
        <f>_xlfn.XLOOKUP(A6,Employees!$A$5:$A$12,Employees!$B$5:$B$12)</f>
        <v/>
      </c>
      <c r="C6" s="15" t="n">
        <v>29.5</v>
      </c>
      <c r="D6" s="9" t="n">
        <v>0</v>
      </c>
      <c r="E6" s="9" t="n">
        <v>0</v>
      </c>
      <c r="F6" s="9" t="n">
        <v>0</v>
      </c>
    </row>
    <row r="7">
      <c r="A7" s="7">
        <f>Employees!A7</f>
        <v/>
      </c>
      <c r="B7" s="7">
        <f>_xlfn.XLOOKUP(A7,Employees!$A$5:$A$12,Employees!$B$5:$B$12)</f>
        <v/>
      </c>
      <c r="C7" s="15" t="n">
        <v>30.5</v>
      </c>
      <c r="D7" s="9" t="n">
        <v>1500</v>
      </c>
      <c r="E7" s="9" t="n">
        <v>0</v>
      </c>
      <c r="F7" s="9" t="n">
        <v>0</v>
      </c>
    </row>
    <row r="8">
      <c r="A8" s="7">
        <f>Employees!A8</f>
        <v/>
      </c>
      <c r="B8" s="7">
        <f>_xlfn.XLOOKUP(A8,Employees!$A$5:$A$12,Employees!$B$5:$B$12)</f>
        <v/>
      </c>
      <c r="C8" s="15" t="n">
        <v>27</v>
      </c>
      <c r="D8" s="9" t="n">
        <v>0</v>
      </c>
      <c r="E8" s="9" t="n">
        <v>1000</v>
      </c>
      <c r="F8" s="9" t="n">
        <v>0</v>
      </c>
    </row>
    <row r="9">
      <c r="A9" s="7">
        <f>Employees!A9</f>
        <v/>
      </c>
      <c r="B9" s="7">
        <f>_xlfn.XLOOKUP(A9,Employees!$A$5:$A$12,Employees!$B$5:$B$12)</f>
        <v/>
      </c>
      <c r="C9" s="15" t="n">
        <v>31</v>
      </c>
      <c r="D9" s="9" t="n">
        <v>0</v>
      </c>
      <c r="E9" s="9" t="n">
        <v>0</v>
      </c>
      <c r="F9" s="9" t="n">
        <v>0</v>
      </c>
    </row>
    <row r="10">
      <c r="A10" s="7">
        <f>Employees!A10</f>
        <v/>
      </c>
      <c r="B10" s="7">
        <f>_xlfn.XLOOKUP(A10,Employees!$A$5:$A$12,Employees!$B$5:$B$12)</f>
        <v/>
      </c>
      <c r="C10" s="15" t="n">
        <v>27</v>
      </c>
      <c r="D10" s="9" t="n">
        <v>0</v>
      </c>
      <c r="E10" s="9" t="n">
        <v>500</v>
      </c>
      <c r="F10" s="9" t="n">
        <v>0</v>
      </c>
    </row>
    <row r="11">
      <c r="A11" s="7">
        <f>Employees!A11</f>
        <v/>
      </c>
      <c r="B11" s="7">
        <f>_xlfn.XLOOKUP(A11,Employees!$A$5:$A$12,Employees!$B$5:$B$12)</f>
        <v/>
      </c>
      <c r="C11" s="15" t="n">
        <v>30.5</v>
      </c>
      <c r="D11" s="9" t="n">
        <v>2000</v>
      </c>
      <c r="E11" s="9" t="n">
        <v>0</v>
      </c>
      <c r="F11" s="9" t="n">
        <v>0</v>
      </c>
    </row>
    <row r="12">
      <c r="A12" s="7">
        <f>Employees!A12</f>
        <v/>
      </c>
      <c r="B12" s="7">
        <f>_xlfn.XLOOKUP(A12,Employees!$A$5:$A$12,Employees!$B$5:$B$12)</f>
        <v/>
      </c>
      <c r="C12" s="15" t="n">
        <v>30.5</v>
      </c>
      <c r="D12" s="9" t="n">
        <v>0</v>
      </c>
      <c r="E12" s="9" t="n">
        <v>0</v>
      </c>
      <c r="F12" s="9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1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>
      <c r="A1" s="1" t="inlineStr">
        <is>
          <t>Payroll register with employer contributions</t>
        </is>
      </c>
    </row>
    <row r="2">
      <c r="A2" s="2" t="inlineStr">
        <is>
          <t>PF wages = earned basic up to the ceiling. EPS = 8.33% of PF wages; employer EPF = employer 12% minus EPS. ESI only when monthly gross ≤ ₹21,000.</t>
        </is>
      </c>
    </row>
    <row r="4">
      <c r="A4" s="13" t="inlineStr">
        <is>
          <t>Emp ID</t>
        </is>
      </c>
      <c r="B4" s="13" t="inlineStr">
        <is>
          <t>Name</t>
        </is>
      </c>
      <c r="C4" s="13" t="inlineStr">
        <is>
          <t>Gender</t>
        </is>
      </c>
      <c r="D4" s="13" t="inlineStr">
        <is>
          <t>Monthly gross</t>
        </is>
      </c>
      <c r="E4" s="13" t="inlineStr">
        <is>
          <t>Paid days</t>
        </is>
      </c>
      <c r="F4" s="13" t="inlineStr">
        <is>
          <t>Earned basic</t>
        </is>
      </c>
      <c r="G4" s="13" t="inlineStr">
        <is>
          <t>Other earned</t>
        </is>
      </c>
      <c r="H4" s="13" t="inlineStr">
        <is>
          <t>Incentive</t>
        </is>
      </c>
      <c r="I4" s="13" t="inlineStr">
        <is>
          <t>Gross earned</t>
        </is>
      </c>
      <c r="J4" s="13" t="inlineStr">
        <is>
          <t>PF wages</t>
        </is>
      </c>
      <c r="K4" s="13" t="inlineStr">
        <is>
          <t>PF (employee)</t>
        </is>
      </c>
      <c r="L4" s="13" t="inlineStr">
        <is>
          <t>ESI (employee)</t>
        </is>
      </c>
      <c r="M4" s="13" t="inlineStr">
        <is>
          <t>PT</t>
        </is>
      </c>
      <c r="N4" s="13" t="inlineStr">
        <is>
          <t>TDS</t>
        </is>
      </c>
      <c r="O4" s="13" t="inlineStr">
        <is>
          <t>Advance</t>
        </is>
      </c>
      <c r="P4" s="13" t="inlineStr">
        <is>
          <t>Net pay</t>
        </is>
      </c>
      <c r="Q4" s="13" t="inlineStr">
        <is>
          <t>EPS (employer)</t>
        </is>
      </c>
      <c r="R4" s="13" t="inlineStr">
        <is>
          <t>EPF (employer)</t>
        </is>
      </c>
      <c r="S4" s="13" t="inlineStr">
        <is>
          <t>ESI (employer)</t>
        </is>
      </c>
      <c r="T4" s="13" t="inlineStr">
        <is>
          <t>Employer cost</t>
        </is>
      </c>
    </row>
    <row r="5">
      <c r="A5" s="7">
        <f>Employees!A5</f>
        <v/>
      </c>
      <c r="B5" s="7">
        <f>_xlfn.XLOOKUP($A5,Employees!$A$5:$A$12,Employees!$B$5:$B$12)</f>
        <v/>
      </c>
      <c r="C5" s="7">
        <f>_xlfn.XLOOKUP($A5,Employees!$A$5:$A$12,Employees!$C$5:$C$12)</f>
        <v/>
      </c>
      <c r="D5" s="14">
        <f>_xlfn.XLOOKUP($A5,Employees!$A$5:$A$12,Employees!$J$5:$J$12)</f>
        <v/>
      </c>
      <c r="E5" s="16">
        <f>_xlfn.XLOOKUP(A5,Inputs!$A$5:$A$12,Inputs!$C$5:$C$12)</f>
        <v/>
      </c>
      <c r="F5" s="14">
        <f>ROUND(_xlfn.XLOOKUP($A5,Employees!$A$5:$A$12,Employees!$F$5:$F$12)*E5/Setup!$B$5,0)</f>
        <v/>
      </c>
      <c r="G5" s="14">
        <f>ROUND(_xlfn.XLOOKUP($A5,Employees!$A$5:$A$12,Employees!$G$5:$G$12)*E5/Setup!$B$5,0)+ROUND(_xlfn.XLOOKUP($A5,Employees!$A$5:$A$12,Employees!$H$5:$H$12)*E5/Setup!$B$5,0)+ROUND(_xlfn.XLOOKUP($A5,Employees!$A$5:$A$12,Employees!$I$5:$I$12)*E5/Setup!$B$5,0)</f>
        <v/>
      </c>
      <c r="H5" s="14">
        <f>_xlfn.XLOOKUP(A5,Inputs!$A$5:$A$12,Inputs!$D$5:$D$12)</f>
        <v/>
      </c>
      <c r="I5" s="17">
        <f>F5+G5+H5</f>
        <v/>
      </c>
      <c r="J5" s="14">
        <f>MIN(F5,Setup!$B$11)</f>
        <v/>
      </c>
      <c r="K5" s="14">
        <f>ROUND(J5*Setup!$B$12,0)</f>
        <v/>
      </c>
      <c r="L5" s="14">
        <f>IF(D5&lt;=Setup!$B$14,ROUNDUP(I5*Setup!$B$15,0),0)</f>
        <v/>
      </c>
      <c r="M5" s="14">
        <f>IF(C5="F",IF(I5&lt;=25000,0,IF(MONTH(Setup!$B$4)=2,300,200)),IF(I5&lt;=7500,0,IF(I5&lt;=10000,175,IF(MONTH(Setup!$B$4)=2,300,200))))</f>
        <v/>
      </c>
      <c r="N5" s="14">
        <f>_xlfn.XLOOKUP(A5,Inputs!$A$5:$A$12,Inputs!$F$5:$F$12)</f>
        <v/>
      </c>
      <c r="O5" s="14">
        <f>_xlfn.XLOOKUP(A5,Inputs!$A$5:$A$12,Inputs!$E$5:$E$12)</f>
        <v/>
      </c>
      <c r="P5" s="17">
        <f>I5-SUM(K5:O5)</f>
        <v/>
      </c>
      <c r="Q5" s="14">
        <f>ROUND(J5*Setup!$B$13,0)</f>
        <v/>
      </c>
      <c r="R5" s="14">
        <f>K5-Q5</f>
        <v/>
      </c>
      <c r="S5" s="14">
        <f>IF(D5&lt;=Setup!$B$14,ROUNDUP(I5*Setup!$B$16,0),0)</f>
        <v/>
      </c>
      <c r="T5" s="17">
        <f>I5+Q5+R5+S5</f>
        <v/>
      </c>
    </row>
    <row r="6">
      <c r="A6" s="7">
        <f>Employees!A6</f>
        <v/>
      </c>
      <c r="B6" s="7">
        <f>_xlfn.XLOOKUP($A6,Employees!$A$5:$A$12,Employees!$B$5:$B$12)</f>
        <v/>
      </c>
      <c r="C6" s="7">
        <f>_xlfn.XLOOKUP($A6,Employees!$A$5:$A$12,Employees!$C$5:$C$12)</f>
        <v/>
      </c>
      <c r="D6" s="14">
        <f>_xlfn.XLOOKUP($A6,Employees!$A$5:$A$12,Employees!$J$5:$J$12)</f>
        <v/>
      </c>
      <c r="E6" s="16">
        <f>_xlfn.XLOOKUP(A6,Inputs!$A$5:$A$12,Inputs!$C$5:$C$12)</f>
        <v/>
      </c>
      <c r="F6" s="14">
        <f>ROUND(_xlfn.XLOOKUP($A6,Employees!$A$5:$A$12,Employees!$F$5:$F$12)*E6/Setup!$B$5,0)</f>
        <v/>
      </c>
      <c r="G6" s="14">
        <f>ROUND(_xlfn.XLOOKUP($A6,Employees!$A$5:$A$12,Employees!$G$5:$G$12)*E6/Setup!$B$5,0)+ROUND(_xlfn.XLOOKUP($A6,Employees!$A$5:$A$12,Employees!$H$5:$H$12)*E6/Setup!$B$5,0)+ROUND(_xlfn.XLOOKUP($A6,Employees!$A$5:$A$12,Employees!$I$5:$I$12)*E6/Setup!$B$5,0)</f>
        <v/>
      </c>
      <c r="H6" s="14">
        <f>_xlfn.XLOOKUP(A6,Inputs!$A$5:$A$12,Inputs!$D$5:$D$12)</f>
        <v/>
      </c>
      <c r="I6" s="17">
        <f>F6+G6+H6</f>
        <v/>
      </c>
      <c r="J6" s="14">
        <f>MIN(F6,Setup!$B$11)</f>
        <v/>
      </c>
      <c r="K6" s="14">
        <f>ROUND(J6*Setup!$B$12,0)</f>
        <v/>
      </c>
      <c r="L6" s="14">
        <f>IF(D6&lt;=Setup!$B$14,ROUNDUP(I6*Setup!$B$15,0),0)</f>
        <v/>
      </c>
      <c r="M6" s="14">
        <f>IF(C6="F",IF(I6&lt;=25000,0,IF(MONTH(Setup!$B$4)=2,300,200)),IF(I6&lt;=7500,0,IF(I6&lt;=10000,175,IF(MONTH(Setup!$B$4)=2,300,200))))</f>
        <v/>
      </c>
      <c r="N6" s="14">
        <f>_xlfn.XLOOKUP(A6,Inputs!$A$5:$A$12,Inputs!$F$5:$F$12)</f>
        <v/>
      </c>
      <c r="O6" s="14">
        <f>_xlfn.XLOOKUP(A6,Inputs!$A$5:$A$12,Inputs!$E$5:$E$12)</f>
        <v/>
      </c>
      <c r="P6" s="17">
        <f>I6-SUM(K6:O6)</f>
        <v/>
      </c>
      <c r="Q6" s="14">
        <f>ROUND(J6*Setup!$B$13,0)</f>
        <v/>
      </c>
      <c r="R6" s="14">
        <f>K6-Q6</f>
        <v/>
      </c>
      <c r="S6" s="14">
        <f>IF(D6&lt;=Setup!$B$14,ROUNDUP(I6*Setup!$B$16,0),0)</f>
        <v/>
      </c>
      <c r="T6" s="17">
        <f>I6+Q6+R6+S6</f>
        <v/>
      </c>
    </row>
    <row r="7">
      <c r="A7" s="7">
        <f>Employees!A7</f>
        <v/>
      </c>
      <c r="B7" s="7">
        <f>_xlfn.XLOOKUP($A7,Employees!$A$5:$A$12,Employees!$B$5:$B$12)</f>
        <v/>
      </c>
      <c r="C7" s="7">
        <f>_xlfn.XLOOKUP($A7,Employees!$A$5:$A$12,Employees!$C$5:$C$12)</f>
        <v/>
      </c>
      <c r="D7" s="14">
        <f>_xlfn.XLOOKUP($A7,Employees!$A$5:$A$12,Employees!$J$5:$J$12)</f>
        <v/>
      </c>
      <c r="E7" s="16">
        <f>_xlfn.XLOOKUP(A7,Inputs!$A$5:$A$12,Inputs!$C$5:$C$12)</f>
        <v/>
      </c>
      <c r="F7" s="14">
        <f>ROUND(_xlfn.XLOOKUP($A7,Employees!$A$5:$A$12,Employees!$F$5:$F$12)*E7/Setup!$B$5,0)</f>
        <v/>
      </c>
      <c r="G7" s="14">
        <f>ROUND(_xlfn.XLOOKUP($A7,Employees!$A$5:$A$12,Employees!$G$5:$G$12)*E7/Setup!$B$5,0)+ROUND(_xlfn.XLOOKUP($A7,Employees!$A$5:$A$12,Employees!$H$5:$H$12)*E7/Setup!$B$5,0)+ROUND(_xlfn.XLOOKUP($A7,Employees!$A$5:$A$12,Employees!$I$5:$I$12)*E7/Setup!$B$5,0)</f>
        <v/>
      </c>
      <c r="H7" s="14">
        <f>_xlfn.XLOOKUP(A7,Inputs!$A$5:$A$12,Inputs!$D$5:$D$12)</f>
        <v/>
      </c>
      <c r="I7" s="17">
        <f>F7+G7+H7</f>
        <v/>
      </c>
      <c r="J7" s="14">
        <f>MIN(F7,Setup!$B$11)</f>
        <v/>
      </c>
      <c r="K7" s="14">
        <f>ROUND(J7*Setup!$B$12,0)</f>
        <v/>
      </c>
      <c r="L7" s="14">
        <f>IF(D7&lt;=Setup!$B$14,ROUNDUP(I7*Setup!$B$15,0),0)</f>
        <v/>
      </c>
      <c r="M7" s="14">
        <f>IF(C7="F",IF(I7&lt;=25000,0,IF(MONTH(Setup!$B$4)=2,300,200)),IF(I7&lt;=7500,0,IF(I7&lt;=10000,175,IF(MONTH(Setup!$B$4)=2,300,200))))</f>
        <v/>
      </c>
      <c r="N7" s="14">
        <f>_xlfn.XLOOKUP(A7,Inputs!$A$5:$A$12,Inputs!$F$5:$F$12)</f>
        <v/>
      </c>
      <c r="O7" s="14">
        <f>_xlfn.XLOOKUP(A7,Inputs!$A$5:$A$12,Inputs!$E$5:$E$12)</f>
        <v/>
      </c>
      <c r="P7" s="17">
        <f>I7-SUM(K7:O7)</f>
        <v/>
      </c>
      <c r="Q7" s="14">
        <f>ROUND(J7*Setup!$B$13,0)</f>
        <v/>
      </c>
      <c r="R7" s="14">
        <f>K7-Q7</f>
        <v/>
      </c>
      <c r="S7" s="14">
        <f>IF(D7&lt;=Setup!$B$14,ROUNDUP(I7*Setup!$B$16,0),0)</f>
        <v/>
      </c>
      <c r="T7" s="17">
        <f>I7+Q7+R7+S7</f>
        <v/>
      </c>
    </row>
    <row r="8">
      <c r="A8" s="7">
        <f>Employees!A8</f>
        <v/>
      </c>
      <c r="B8" s="7">
        <f>_xlfn.XLOOKUP($A8,Employees!$A$5:$A$12,Employees!$B$5:$B$12)</f>
        <v/>
      </c>
      <c r="C8" s="7">
        <f>_xlfn.XLOOKUP($A8,Employees!$A$5:$A$12,Employees!$C$5:$C$12)</f>
        <v/>
      </c>
      <c r="D8" s="14">
        <f>_xlfn.XLOOKUP($A8,Employees!$A$5:$A$12,Employees!$J$5:$J$12)</f>
        <v/>
      </c>
      <c r="E8" s="16">
        <f>_xlfn.XLOOKUP(A8,Inputs!$A$5:$A$12,Inputs!$C$5:$C$12)</f>
        <v/>
      </c>
      <c r="F8" s="14">
        <f>ROUND(_xlfn.XLOOKUP($A8,Employees!$A$5:$A$12,Employees!$F$5:$F$12)*E8/Setup!$B$5,0)</f>
        <v/>
      </c>
      <c r="G8" s="14">
        <f>ROUND(_xlfn.XLOOKUP($A8,Employees!$A$5:$A$12,Employees!$G$5:$G$12)*E8/Setup!$B$5,0)+ROUND(_xlfn.XLOOKUP($A8,Employees!$A$5:$A$12,Employees!$H$5:$H$12)*E8/Setup!$B$5,0)+ROUND(_xlfn.XLOOKUP($A8,Employees!$A$5:$A$12,Employees!$I$5:$I$12)*E8/Setup!$B$5,0)</f>
        <v/>
      </c>
      <c r="H8" s="14">
        <f>_xlfn.XLOOKUP(A8,Inputs!$A$5:$A$12,Inputs!$D$5:$D$12)</f>
        <v/>
      </c>
      <c r="I8" s="17">
        <f>F8+G8+H8</f>
        <v/>
      </c>
      <c r="J8" s="14">
        <f>MIN(F8,Setup!$B$11)</f>
        <v/>
      </c>
      <c r="K8" s="14">
        <f>ROUND(J8*Setup!$B$12,0)</f>
        <v/>
      </c>
      <c r="L8" s="14">
        <f>IF(D8&lt;=Setup!$B$14,ROUNDUP(I8*Setup!$B$15,0),0)</f>
        <v/>
      </c>
      <c r="M8" s="14">
        <f>IF(C8="F",IF(I8&lt;=25000,0,IF(MONTH(Setup!$B$4)=2,300,200)),IF(I8&lt;=7500,0,IF(I8&lt;=10000,175,IF(MONTH(Setup!$B$4)=2,300,200))))</f>
        <v/>
      </c>
      <c r="N8" s="14">
        <f>_xlfn.XLOOKUP(A8,Inputs!$A$5:$A$12,Inputs!$F$5:$F$12)</f>
        <v/>
      </c>
      <c r="O8" s="14">
        <f>_xlfn.XLOOKUP(A8,Inputs!$A$5:$A$12,Inputs!$E$5:$E$12)</f>
        <v/>
      </c>
      <c r="P8" s="17">
        <f>I8-SUM(K8:O8)</f>
        <v/>
      </c>
      <c r="Q8" s="14">
        <f>ROUND(J8*Setup!$B$13,0)</f>
        <v/>
      </c>
      <c r="R8" s="14">
        <f>K8-Q8</f>
        <v/>
      </c>
      <c r="S8" s="14">
        <f>IF(D8&lt;=Setup!$B$14,ROUNDUP(I8*Setup!$B$16,0),0)</f>
        <v/>
      </c>
      <c r="T8" s="17">
        <f>I8+Q8+R8+S8</f>
        <v/>
      </c>
    </row>
    <row r="9">
      <c r="A9" s="7">
        <f>Employees!A9</f>
        <v/>
      </c>
      <c r="B9" s="7">
        <f>_xlfn.XLOOKUP($A9,Employees!$A$5:$A$12,Employees!$B$5:$B$12)</f>
        <v/>
      </c>
      <c r="C9" s="7">
        <f>_xlfn.XLOOKUP($A9,Employees!$A$5:$A$12,Employees!$C$5:$C$12)</f>
        <v/>
      </c>
      <c r="D9" s="14">
        <f>_xlfn.XLOOKUP($A9,Employees!$A$5:$A$12,Employees!$J$5:$J$12)</f>
        <v/>
      </c>
      <c r="E9" s="16">
        <f>_xlfn.XLOOKUP(A9,Inputs!$A$5:$A$12,Inputs!$C$5:$C$12)</f>
        <v/>
      </c>
      <c r="F9" s="14">
        <f>ROUND(_xlfn.XLOOKUP($A9,Employees!$A$5:$A$12,Employees!$F$5:$F$12)*E9/Setup!$B$5,0)</f>
        <v/>
      </c>
      <c r="G9" s="14">
        <f>ROUND(_xlfn.XLOOKUP($A9,Employees!$A$5:$A$12,Employees!$G$5:$G$12)*E9/Setup!$B$5,0)+ROUND(_xlfn.XLOOKUP($A9,Employees!$A$5:$A$12,Employees!$H$5:$H$12)*E9/Setup!$B$5,0)+ROUND(_xlfn.XLOOKUP($A9,Employees!$A$5:$A$12,Employees!$I$5:$I$12)*E9/Setup!$B$5,0)</f>
        <v/>
      </c>
      <c r="H9" s="14">
        <f>_xlfn.XLOOKUP(A9,Inputs!$A$5:$A$12,Inputs!$D$5:$D$12)</f>
        <v/>
      </c>
      <c r="I9" s="17">
        <f>F9+G9+H9</f>
        <v/>
      </c>
      <c r="J9" s="14">
        <f>MIN(F9,Setup!$B$11)</f>
        <v/>
      </c>
      <c r="K9" s="14">
        <f>ROUND(J9*Setup!$B$12,0)</f>
        <v/>
      </c>
      <c r="L9" s="14">
        <f>IF(D9&lt;=Setup!$B$14,ROUNDUP(I9*Setup!$B$15,0),0)</f>
        <v/>
      </c>
      <c r="M9" s="14">
        <f>IF(C9="F",IF(I9&lt;=25000,0,IF(MONTH(Setup!$B$4)=2,300,200)),IF(I9&lt;=7500,0,IF(I9&lt;=10000,175,IF(MONTH(Setup!$B$4)=2,300,200))))</f>
        <v/>
      </c>
      <c r="N9" s="14">
        <f>_xlfn.XLOOKUP(A9,Inputs!$A$5:$A$12,Inputs!$F$5:$F$12)</f>
        <v/>
      </c>
      <c r="O9" s="14">
        <f>_xlfn.XLOOKUP(A9,Inputs!$A$5:$A$12,Inputs!$E$5:$E$12)</f>
        <v/>
      </c>
      <c r="P9" s="17">
        <f>I9-SUM(K9:O9)</f>
        <v/>
      </c>
      <c r="Q9" s="14">
        <f>ROUND(J9*Setup!$B$13,0)</f>
        <v/>
      </c>
      <c r="R9" s="14">
        <f>K9-Q9</f>
        <v/>
      </c>
      <c r="S9" s="14">
        <f>IF(D9&lt;=Setup!$B$14,ROUNDUP(I9*Setup!$B$16,0),0)</f>
        <v/>
      </c>
      <c r="T9" s="17">
        <f>I9+Q9+R9+S9</f>
        <v/>
      </c>
    </row>
    <row r="10">
      <c r="A10" s="7">
        <f>Employees!A10</f>
        <v/>
      </c>
      <c r="B10" s="7">
        <f>_xlfn.XLOOKUP($A10,Employees!$A$5:$A$12,Employees!$B$5:$B$12)</f>
        <v/>
      </c>
      <c r="C10" s="7">
        <f>_xlfn.XLOOKUP($A10,Employees!$A$5:$A$12,Employees!$C$5:$C$12)</f>
        <v/>
      </c>
      <c r="D10" s="14">
        <f>_xlfn.XLOOKUP($A10,Employees!$A$5:$A$12,Employees!$J$5:$J$12)</f>
        <v/>
      </c>
      <c r="E10" s="16">
        <f>_xlfn.XLOOKUP(A10,Inputs!$A$5:$A$12,Inputs!$C$5:$C$12)</f>
        <v/>
      </c>
      <c r="F10" s="14">
        <f>ROUND(_xlfn.XLOOKUP($A10,Employees!$A$5:$A$12,Employees!$F$5:$F$12)*E10/Setup!$B$5,0)</f>
        <v/>
      </c>
      <c r="G10" s="14">
        <f>ROUND(_xlfn.XLOOKUP($A10,Employees!$A$5:$A$12,Employees!$G$5:$G$12)*E10/Setup!$B$5,0)+ROUND(_xlfn.XLOOKUP($A10,Employees!$A$5:$A$12,Employees!$H$5:$H$12)*E10/Setup!$B$5,0)+ROUND(_xlfn.XLOOKUP($A10,Employees!$A$5:$A$12,Employees!$I$5:$I$12)*E10/Setup!$B$5,0)</f>
        <v/>
      </c>
      <c r="H10" s="14">
        <f>_xlfn.XLOOKUP(A10,Inputs!$A$5:$A$12,Inputs!$D$5:$D$12)</f>
        <v/>
      </c>
      <c r="I10" s="17">
        <f>F10+G10+H10</f>
        <v/>
      </c>
      <c r="J10" s="14">
        <f>MIN(F10,Setup!$B$11)</f>
        <v/>
      </c>
      <c r="K10" s="14">
        <f>ROUND(J10*Setup!$B$12,0)</f>
        <v/>
      </c>
      <c r="L10" s="14">
        <f>IF(D10&lt;=Setup!$B$14,ROUNDUP(I10*Setup!$B$15,0),0)</f>
        <v/>
      </c>
      <c r="M10" s="14">
        <f>IF(C10="F",IF(I10&lt;=25000,0,IF(MONTH(Setup!$B$4)=2,300,200)),IF(I10&lt;=7500,0,IF(I10&lt;=10000,175,IF(MONTH(Setup!$B$4)=2,300,200))))</f>
        <v/>
      </c>
      <c r="N10" s="14">
        <f>_xlfn.XLOOKUP(A10,Inputs!$A$5:$A$12,Inputs!$F$5:$F$12)</f>
        <v/>
      </c>
      <c r="O10" s="14">
        <f>_xlfn.XLOOKUP(A10,Inputs!$A$5:$A$12,Inputs!$E$5:$E$12)</f>
        <v/>
      </c>
      <c r="P10" s="17">
        <f>I10-SUM(K10:O10)</f>
        <v/>
      </c>
      <c r="Q10" s="14">
        <f>ROUND(J10*Setup!$B$13,0)</f>
        <v/>
      </c>
      <c r="R10" s="14">
        <f>K10-Q10</f>
        <v/>
      </c>
      <c r="S10" s="14">
        <f>IF(D10&lt;=Setup!$B$14,ROUNDUP(I10*Setup!$B$16,0),0)</f>
        <v/>
      </c>
      <c r="T10" s="17">
        <f>I10+Q10+R10+S10</f>
        <v/>
      </c>
    </row>
    <row r="11">
      <c r="A11" s="7">
        <f>Employees!A11</f>
        <v/>
      </c>
      <c r="B11" s="7">
        <f>_xlfn.XLOOKUP($A11,Employees!$A$5:$A$12,Employees!$B$5:$B$12)</f>
        <v/>
      </c>
      <c r="C11" s="7">
        <f>_xlfn.XLOOKUP($A11,Employees!$A$5:$A$12,Employees!$C$5:$C$12)</f>
        <v/>
      </c>
      <c r="D11" s="14">
        <f>_xlfn.XLOOKUP($A11,Employees!$A$5:$A$12,Employees!$J$5:$J$12)</f>
        <v/>
      </c>
      <c r="E11" s="16">
        <f>_xlfn.XLOOKUP(A11,Inputs!$A$5:$A$12,Inputs!$C$5:$C$12)</f>
        <v/>
      </c>
      <c r="F11" s="14">
        <f>ROUND(_xlfn.XLOOKUP($A11,Employees!$A$5:$A$12,Employees!$F$5:$F$12)*E11/Setup!$B$5,0)</f>
        <v/>
      </c>
      <c r="G11" s="14">
        <f>ROUND(_xlfn.XLOOKUP($A11,Employees!$A$5:$A$12,Employees!$G$5:$G$12)*E11/Setup!$B$5,0)+ROUND(_xlfn.XLOOKUP($A11,Employees!$A$5:$A$12,Employees!$H$5:$H$12)*E11/Setup!$B$5,0)+ROUND(_xlfn.XLOOKUP($A11,Employees!$A$5:$A$12,Employees!$I$5:$I$12)*E11/Setup!$B$5,0)</f>
        <v/>
      </c>
      <c r="H11" s="14">
        <f>_xlfn.XLOOKUP(A11,Inputs!$A$5:$A$12,Inputs!$D$5:$D$12)</f>
        <v/>
      </c>
      <c r="I11" s="17">
        <f>F11+G11+H11</f>
        <v/>
      </c>
      <c r="J11" s="14">
        <f>MIN(F11,Setup!$B$11)</f>
        <v/>
      </c>
      <c r="K11" s="14">
        <f>ROUND(J11*Setup!$B$12,0)</f>
        <v/>
      </c>
      <c r="L11" s="14">
        <f>IF(D11&lt;=Setup!$B$14,ROUNDUP(I11*Setup!$B$15,0),0)</f>
        <v/>
      </c>
      <c r="M11" s="14">
        <f>IF(C11="F",IF(I11&lt;=25000,0,IF(MONTH(Setup!$B$4)=2,300,200)),IF(I11&lt;=7500,0,IF(I11&lt;=10000,175,IF(MONTH(Setup!$B$4)=2,300,200))))</f>
        <v/>
      </c>
      <c r="N11" s="14">
        <f>_xlfn.XLOOKUP(A11,Inputs!$A$5:$A$12,Inputs!$F$5:$F$12)</f>
        <v/>
      </c>
      <c r="O11" s="14">
        <f>_xlfn.XLOOKUP(A11,Inputs!$A$5:$A$12,Inputs!$E$5:$E$12)</f>
        <v/>
      </c>
      <c r="P11" s="17">
        <f>I11-SUM(K11:O11)</f>
        <v/>
      </c>
      <c r="Q11" s="14">
        <f>ROUND(J11*Setup!$B$13,0)</f>
        <v/>
      </c>
      <c r="R11" s="14">
        <f>K11-Q11</f>
        <v/>
      </c>
      <c r="S11" s="14">
        <f>IF(D11&lt;=Setup!$B$14,ROUNDUP(I11*Setup!$B$16,0),0)</f>
        <v/>
      </c>
      <c r="T11" s="17">
        <f>I11+Q11+R11+S11</f>
        <v/>
      </c>
    </row>
    <row r="12">
      <c r="A12" s="7">
        <f>Employees!A12</f>
        <v/>
      </c>
      <c r="B12" s="7">
        <f>_xlfn.XLOOKUP($A12,Employees!$A$5:$A$12,Employees!$B$5:$B$12)</f>
        <v/>
      </c>
      <c r="C12" s="7">
        <f>_xlfn.XLOOKUP($A12,Employees!$A$5:$A$12,Employees!$C$5:$C$12)</f>
        <v/>
      </c>
      <c r="D12" s="14">
        <f>_xlfn.XLOOKUP($A12,Employees!$A$5:$A$12,Employees!$J$5:$J$12)</f>
        <v/>
      </c>
      <c r="E12" s="16">
        <f>_xlfn.XLOOKUP(A12,Inputs!$A$5:$A$12,Inputs!$C$5:$C$12)</f>
        <v/>
      </c>
      <c r="F12" s="14">
        <f>ROUND(_xlfn.XLOOKUP($A12,Employees!$A$5:$A$12,Employees!$F$5:$F$12)*E12/Setup!$B$5,0)</f>
        <v/>
      </c>
      <c r="G12" s="14">
        <f>ROUND(_xlfn.XLOOKUP($A12,Employees!$A$5:$A$12,Employees!$G$5:$G$12)*E12/Setup!$B$5,0)+ROUND(_xlfn.XLOOKUP($A12,Employees!$A$5:$A$12,Employees!$H$5:$H$12)*E12/Setup!$B$5,0)+ROUND(_xlfn.XLOOKUP($A12,Employees!$A$5:$A$12,Employees!$I$5:$I$12)*E12/Setup!$B$5,0)</f>
        <v/>
      </c>
      <c r="H12" s="14">
        <f>_xlfn.XLOOKUP(A12,Inputs!$A$5:$A$12,Inputs!$D$5:$D$12)</f>
        <v/>
      </c>
      <c r="I12" s="17">
        <f>F12+G12+H12</f>
        <v/>
      </c>
      <c r="J12" s="14">
        <f>MIN(F12,Setup!$B$11)</f>
        <v/>
      </c>
      <c r="K12" s="14">
        <f>ROUND(J12*Setup!$B$12,0)</f>
        <v/>
      </c>
      <c r="L12" s="14">
        <f>IF(D12&lt;=Setup!$B$14,ROUNDUP(I12*Setup!$B$15,0),0)</f>
        <v/>
      </c>
      <c r="M12" s="14">
        <f>IF(C12="F",IF(I12&lt;=25000,0,IF(MONTH(Setup!$B$4)=2,300,200)),IF(I12&lt;=7500,0,IF(I12&lt;=10000,175,IF(MONTH(Setup!$B$4)=2,300,200))))</f>
        <v/>
      </c>
      <c r="N12" s="14">
        <f>_xlfn.XLOOKUP(A12,Inputs!$A$5:$A$12,Inputs!$F$5:$F$12)</f>
        <v/>
      </c>
      <c r="O12" s="14">
        <f>_xlfn.XLOOKUP(A12,Inputs!$A$5:$A$12,Inputs!$E$5:$E$12)</f>
        <v/>
      </c>
      <c r="P12" s="17">
        <f>I12-SUM(K12:O12)</f>
        <v/>
      </c>
      <c r="Q12" s="14">
        <f>ROUND(J12*Setup!$B$13,0)</f>
        <v/>
      </c>
      <c r="R12" s="14">
        <f>K12-Q12</f>
        <v/>
      </c>
      <c r="S12" s="14">
        <f>IF(D12&lt;=Setup!$B$14,ROUNDUP(I12*Setup!$B$16,0),0)</f>
        <v/>
      </c>
      <c r="T12" s="17">
        <f>I12+Q12+R12+S12</f>
        <v/>
      </c>
    </row>
    <row r="13">
      <c r="B13" s="18" t="inlineStr">
        <is>
          <t>Total</t>
        </is>
      </c>
      <c r="D13" s="19">
        <f>SUM(D5:D12)</f>
        <v/>
      </c>
      <c r="F13" s="19">
        <f>SUM(F5:F12)</f>
        <v/>
      </c>
      <c r="G13" s="19">
        <f>SUM(G5:G12)</f>
        <v/>
      </c>
      <c r="H13" s="19">
        <f>SUM(H5:H12)</f>
        <v/>
      </c>
      <c r="I13" s="19">
        <f>SUM(I5:I12)</f>
        <v/>
      </c>
      <c r="J13" s="19">
        <f>SUM(J5:J12)</f>
        <v/>
      </c>
      <c r="K13" s="19">
        <f>SUM(K5:K12)</f>
        <v/>
      </c>
      <c r="L13" s="19">
        <f>SUM(L5:L12)</f>
        <v/>
      </c>
      <c r="M13" s="19">
        <f>SUM(M5:M12)</f>
        <v/>
      </c>
      <c r="N13" s="19">
        <f>SUM(N5:N12)</f>
        <v/>
      </c>
      <c r="O13" s="19">
        <f>SUM(O5:O12)</f>
        <v/>
      </c>
      <c r="P13" s="19">
        <f>SUM(P5:P12)</f>
        <v/>
      </c>
      <c r="Q13" s="19">
        <f>SUM(Q5:Q12)</f>
        <v/>
      </c>
      <c r="R13" s="19">
        <f>SUM(R5:R12)</f>
        <v/>
      </c>
      <c r="S13" s="19">
        <f>SUM(S5:S12)</f>
        <v/>
      </c>
      <c r="T13" s="19">
        <f>SUM(T5:T12)</f>
        <v/>
      </c>
    </row>
  </sheetData>
  <conditionalFormatting sqref="L5:L12">
    <cfRule type="cellIs" priority="1" operator="equal" dxfId="0">
      <formula>0</formula>
    </cfRule>
  </conditionalFormatting>
  <conditionalFormatting sqref="S5:S12">
    <cfRule type="cellIs" priority="2" operator="equal" dxfId="0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6" customWidth="1" min="1" max="1"/>
    <col width="11" customWidth="1" min="2" max="2"/>
    <col width="14" customWidth="1" min="3" max="3"/>
  </cols>
  <sheetData>
    <row r="1">
      <c r="A1" s="1" t="inlineStr">
        <is>
          <t>Statutory dues for the month</t>
        </is>
      </c>
    </row>
    <row r="2">
      <c r="A2" s="2" t="inlineStr">
        <is>
          <t>What to deposit: PF (employee + employer), ESI (employee + employer) and PT. Totals come from the Payroll sheet.</t>
        </is>
      </c>
    </row>
    <row r="4">
      <c r="A4" s="13" t="inlineStr">
        <is>
          <t>Item</t>
        </is>
      </c>
      <c r="B4" s="13" t="inlineStr">
        <is>
          <t>Employees</t>
        </is>
      </c>
      <c r="C4" s="13" t="inlineStr">
        <is>
          <t>Amount (₹)</t>
        </is>
      </c>
    </row>
    <row r="5">
      <c r="A5" s="8" t="inlineStr">
        <is>
          <t>PF: employee share (12%)</t>
        </is>
      </c>
      <c r="B5" s="7">
        <f>COUNTIF(Payroll!$K$5:$K$12,"&gt;0")</f>
        <v/>
      </c>
      <c r="C5" s="14">
        <f>Payroll!K13</f>
        <v/>
      </c>
    </row>
    <row r="6">
      <c r="A6" s="8" t="inlineStr">
        <is>
          <t>PF: employer share to EPS (8.33%)</t>
        </is>
      </c>
      <c r="C6" s="14">
        <f>Payroll!Q13</f>
        <v/>
      </c>
    </row>
    <row r="7">
      <c r="A7" s="8" t="inlineStr">
        <is>
          <t>PF: employer share to EPF (3.67%)</t>
        </is>
      </c>
      <c r="C7" s="14">
        <f>Payroll!R13</f>
        <v/>
      </c>
    </row>
    <row r="8">
      <c r="A8" s="8" t="inlineStr">
        <is>
          <t>ESI: employee share (0.75%)</t>
        </is>
      </c>
      <c r="B8" s="7">
        <f>COUNTIF(Payroll!$D$5:$D$12,"&lt;="&amp;Setup!$B$14)</f>
        <v/>
      </c>
      <c r="C8" s="14">
        <f>Payroll!L13</f>
        <v/>
      </c>
    </row>
    <row r="9">
      <c r="A9" s="8" t="inlineStr">
        <is>
          <t>ESI: employer share (3.25%)</t>
        </is>
      </c>
      <c r="C9" s="14">
        <f>Payroll!S13</f>
        <v/>
      </c>
    </row>
    <row r="10">
      <c r="A10" s="8" t="inlineStr">
        <is>
          <t>Professional tax (Maharashtra)</t>
        </is>
      </c>
      <c r="B10" s="7">
        <f>COUNTIF(Payroll!$M$5:$M$12,"&gt;0")</f>
        <v/>
      </c>
      <c r="C10" s="14">
        <f>Payroll!M13</f>
        <v/>
      </c>
    </row>
    <row r="11">
      <c r="A11" s="8" t="inlineStr">
        <is>
          <t>TDS on salary</t>
        </is>
      </c>
      <c r="B11" s="7">
        <f>COUNTIF(Payroll!$N$5:$N$12,"&gt;0")</f>
        <v/>
      </c>
      <c r="C11" s="14">
        <f>Payroll!N13</f>
        <v/>
      </c>
    </row>
    <row r="12">
      <c r="A12" s="18" t="inlineStr">
        <is>
          <t>Total PF to deposit</t>
        </is>
      </c>
      <c r="C12" s="19">
        <f>SUM(C5:C7)</f>
        <v/>
      </c>
    </row>
    <row r="13">
      <c r="A13" s="18" t="inlineStr">
        <is>
          <t>Total ESI to deposit</t>
        </is>
      </c>
      <c r="C13" s="19">
        <f>C8+C9</f>
        <v/>
      </c>
    </row>
    <row r="15">
      <c r="A15" s="13" t="inlineStr">
        <is>
          <t>PT slab</t>
        </is>
      </c>
      <c r="B15" s="13" t="inlineStr">
        <is>
          <t>Employees</t>
        </is>
      </c>
      <c r="C15" s="13" t="inlineStr">
        <is>
          <t>Amount (₹)</t>
        </is>
      </c>
    </row>
    <row r="16">
      <c r="A16" s="9" t="n">
        <v>0</v>
      </c>
      <c r="B16" s="7">
        <f>COUNTIF(Payroll!$M$5:$M$12,A16)</f>
        <v/>
      </c>
      <c r="C16" s="14">
        <f>SUMIF(Payroll!$M$5:$M$12,A16,Payroll!$M$5:$M$12)</f>
        <v/>
      </c>
    </row>
    <row r="17">
      <c r="A17" s="9" t="n">
        <v>175</v>
      </c>
      <c r="B17" s="7">
        <f>COUNTIF(Payroll!$M$5:$M$12,A17)</f>
        <v/>
      </c>
      <c r="C17" s="14">
        <f>SUMIF(Payroll!$M$5:$M$12,A17,Payroll!$M$5:$M$12)</f>
        <v/>
      </c>
    </row>
    <row r="18">
      <c r="A18" s="9" t="n">
        <v>200</v>
      </c>
      <c r="B18" s="7">
        <f>COUNTIF(Payroll!$M$5:$M$12,A18)</f>
        <v/>
      </c>
      <c r="C18" s="14">
        <f>SUMIF(Payroll!$M$5:$M$12,A18,Payroll!$M$5:$M$12)</f>
        <v/>
      </c>
    </row>
    <row r="19">
      <c r="A19" s="9" t="n">
        <v>300</v>
      </c>
      <c r="B19" s="7">
        <f>COUNTIF(Payroll!$M$5:$M$12,A19)</f>
        <v/>
      </c>
      <c r="C19" s="14">
        <f>SUMIF(Payroll!$M$5:$M$12,A19,Payroll!$M$5:$M$12)</f>
        <v/>
      </c>
    </row>
    <row r="21">
      <c r="A21" s="2" t="inlineStr">
        <is>
          <t>Deposit dates: ESI within 15 days of the month end (esic.gov.in). Check PF and PT due dates on the EPFO and MAHAGST portals.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26" customWidth="1" min="3" max="3"/>
    <col width="14" customWidth="1" min="4" max="4"/>
  </cols>
  <sheetData>
    <row r="1">
      <c r="A1" s="1" t="inlineStr">
        <is>
          <t>Bank transfer list</t>
        </is>
      </c>
    </row>
    <row r="2">
      <c r="A2" s="2" t="inlineStr">
        <is>
          <t>Net pay per employee for the bank upload. The check cell must be 0.</t>
        </is>
      </c>
    </row>
    <row r="4">
      <c r="A4" s="13" t="inlineStr">
        <is>
          <t>Emp ID</t>
        </is>
      </c>
      <c r="B4" s="13" t="inlineStr">
        <is>
          <t>Name</t>
        </is>
      </c>
      <c r="C4" s="13" t="inlineStr">
        <is>
          <t>Bank account</t>
        </is>
      </c>
      <c r="D4" s="13" t="inlineStr">
        <is>
          <t>Net pay (₹)</t>
        </is>
      </c>
    </row>
    <row r="5">
      <c r="A5" s="7">
        <f>Payroll!A5</f>
        <v/>
      </c>
      <c r="B5" s="7">
        <f>Payroll!B5</f>
        <v/>
      </c>
      <c r="C5" s="7">
        <f>_xlfn.XLOOKUP(A5,Employees!$A$5:$A$12,Employees!$K$5:$K$12)</f>
        <v/>
      </c>
      <c r="D5" s="14">
        <f>Payroll!P5</f>
        <v/>
      </c>
    </row>
    <row r="6">
      <c r="A6" s="7">
        <f>Payroll!A6</f>
        <v/>
      </c>
      <c r="B6" s="7">
        <f>Payroll!B6</f>
        <v/>
      </c>
      <c r="C6" s="7">
        <f>_xlfn.XLOOKUP(A6,Employees!$A$5:$A$12,Employees!$K$5:$K$12)</f>
        <v/>
      </c>
      <c r="D6" s="14">
        <f>Payroll!P6</f>
        <v/>
      </c>
    </row>
    <row r="7">
      <c r="A7" s="7">
        <f>Payroll!A7</f>
        <v/>
      </c>
      <c r="B7" s="7">
        <f>Payroll!B7</f>
        <v/>
      </c>
      <c r="C7" s="7">
        <f>_xlfn.XLOOKUP(A7,Employees!$A$5:$A$12,Employees!$K$5:$K$12)</f>
        <v/>
      </c>
      <c r="D7" s="14">
        <f>Payroll!P7</f>
        <v/>
      </c>
    </row>
    <row r="8">
      <c r="A8" s="7">
        <f>Payroll!A8</f>
        <v/>
      </c>
      <c r="B8" s="7">
        <f>Payroll!B8</f>
        <v/>
      </c>
      <c r="C8" s="7">
        <f>_xlfn.XLOOKUP(A8,Employees!$A$5:$A$12,Employees!$K$5:$K$12)</f>
        <v/>
      </c>
      <c r="D8" s="14">
        <f>Payroll!P8</f>
        <v/>
      </c>
    </row>
    <row r="9">
      <c r="A9" s="7">
        <f>Payroll!A9</f>
        <v/>
      </c>
      <c r="B9" s="7">
        <f>Payroll!B9</f>
        <v/>
      </c>
      <c r="C9" s="7">
        <f>_xlfn.XLOOKUP(A9,Employees!$A$5:$A$12,Employees!$K$5:$K$12)</f>
        <v/>
      </c>
      <c r="D9" s="14">
        <f>Payroll!P9</f>
        <v/>
      </c>
    </row>
    <row r="10">
      <c r="A10" s="7">
        <f>Payroll!A10</f>
        <v/>
      </c>
      <c r="B10" s="7">
        <f>Payroll!B10</f>
        <v/>
      </c>
      <c r="C10" s="7">
        <f>_xlfn.XLOOKUP(A10,Employees!$A$5:$A$12,Employees!$K$5:$K$12)</f>
        <v/>
      </c>
      <c r="D10" s="14">
        <f>Payroll!P10</f>
        <v/>
      </c>
    </row>
    <row r="11">
      <c r="A11" s="7">
        <f>Payroll!A11</f>
        <v/>
      </c>
      <c r="B11" s="7">
        <f>Payroll!B11</f>
        <v/>
      </c>
      <c r="C11" s="7">
        <f>_xlfn.XLOOKUP(A11,Employees!$A$5:$A$12,Employees!$K$5:$K$12)</f>
        <v/>
      </c>
      <c r="D11" s="14">
        <f>Payroll!P11</f>
        <v/>
      </c>
    </row>
    <row r="12">
      <c r="A12" s="7">
        <f>Payroll!A12</f>
        <v/>
      </c>
      <c r="B12" s="7">
        <f>Payroll!B12</f>
        <v/>
      </c>
      <c r="C12" s="7">
        <f>_xlfn.XLOOKUP(A12,Employees!$A$5:$A$12,Employees!$K$5:$K$12)</f>
        <v/>
      </c>
      <c r="D12" s="14">
        <f>Payroll!P12</f>
        <v/>
      </c>
    </row>
    <row r="13">
      <c r="C13" s="18" t="inlineStr">
        <is>
          <t>Total</t>
        </is>
      </c>
      <c r="D13" s="19">
        <f>SUM(D5:D12)</f>
        <v/>
      </c>
    </row>
    <row r="14">
      <c r="C14" s="8" t="inlineStr">
        <is>
          <t>Check vs payroll (must be 0)</t>
        </is>
      </c>
      <c r="D14" s="14">
        <f>D13-Payroll!P13</f>
        <v/>
      </c>
    </row>
  </sheetData>
  <conditionalFormatting sqref="D14">
    <cfRule type="cellIs" priority="1" operator="notEqual" dxfId="1">
      <formula>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16" customWidth="1" min="4" max="4"/>
    <col width="14" customWidth="1" min="5" max="5"/>
    <col width="12" customWidth="1" min="6" max="6"/>
  </cols>
  <sheetData>
    <row r="1">
      <c r="A1" s="1" t="inlineStr">
        <is>
          <t>Department cost report</t>
        </is>
      </c>
    </row>
    <row r="2">
      <c r="A2" s="2" t="inlineStr">
        <is>
          <t>Employer cost = gross earned + employer PF + employer ESI.</t>
        </is>
      </c>
    </row>
    <row r="4">
      <c r="A4" s="13" t="inlineStr">
        <is>
          <t>Department</t>
        </is>
      </c>
      <c r="B4" s="13" t="inlineStr">
        <is>
          <t>Employees</t>
        </is>
      </c>
      <c r="C4" s="13" t="inlineStr">
        <is>
          <t>Gross earned</t>
        </is>
      </c>
      <c r="D4" s="13" t="inlineStr">
        <is>
          <t>Employer PF + ESI</t>
        </is>
      </c>
      <c r="E4" s="13" t="inlineStr">
        <is>
          <t>Employer cost</t>
        </is>
      </c>
      <c r="F4" s="13" t="inlineStr">
        <is>
          <t>Share of cost</t>
        </is>
      </c>
    </row>
    <row r="5">
      <c r="A5" s="7">
        <f>Setup!E5</f>
        <v/>
      </c>
      <c r="B5" s="7">
        <f>COUNTIF(Employees!$E$5:$E$12,A5)</f>
        <v/>
      </c>
      <c r="C5" s="14">
        <f>SUMIFS(Payroll!$I$5:$I$12,Employees!$E$5:$E$12,A5)</f>
        <v/>
      </c>
      <c r="D5" s="14">
        <f>SUMIFS(Payroll!$Q$5:$Q$12,Employees!$E$5:$E$12,A5)+SUMIFS(Payroll!$R$5:$R$12,Employees!$E$5:$E$12,A5)+SUMIFS(Payroll!$S$5:$S$12,Employees!$E$5:$E$12,A5)</f>
        <v/>
      </c>
      <c r="E5" s="14">
        <f>C5+D5</f>
        <v/>
      </c>
      <c r="F5" s="20">
        <f>E5/Payroll!$T$13</f>
        <v/>
      </c>
    </row>
    <row r="6">
      <c r="A6" s="7">
        <f>Setup!E6</f>
        <v/>
      </c>
      <c r="B6" s="7">
        <f>COUNTIF(Employees!$E$5:$E$12,A6)</f>
        <v/>
      </c>
      <c r="C6" s="14">
        <f>SUMIFS(Payroll!$I$5:$I$12,Employees!$E$5:$E$12,A6)</f>
        <v/>
      </c>
      <c r="D6" s="14">
        <f>SUMIFS(Payroll!$Q$5:$Q$12,Employees!$E$5:$E$12,A6)+SUMIFS(Payroll!$R$5:$R$12,Employees!$E$5:$E$12,A6)+SUMIFS(Payroll!$S$5:$S$12,Employees!$E$5:$E$12,A6)</f>
        <v/>
      </c>
      <c r="E6" s="14">
        <f>C6+D6</f>
        <v/>
      </c>
      <c r="F6" s="20">
        <f>E6/Payroll!$T$13</f>
        <v/>
      </c>
    </row>
    <row r="7">
      <c r="A7" s="7">
        <f>Setup!E7</f>
        <v/>
      </c>
      <c r="B7" s="7">
        <f>COUNTIF(Employees!$E$5:$E$12,A7)</f>
        <v/>
      </c>
      <c r="C7" s="14">
        <f>SUMIFS(Payroll!$I$5:$I$12,Employees!$E$5:$E$12,A7)</f>
        <v/>
      </c>
      <c r="D7" s="14">
        <f>SUMIFS(Payroll!$Q$5:$Q$12,Employees!$E$5:$E$12,A7)+SUMIFS(Payroll!$R$5:$R$12,Employees!$E$5:$E$12,A7)+SUMIFS(Payroll!$S$5:$S$12,Employees!$E$5:$E$12,A7)</f>
        <v/>
      </c>
      <c r="E7" s="14">
        <f>C7+D7</f>
        <v/>
      </c>
      <c r="F7" s="20">
        <f>E7/Payroll!$T$13</f>
        <v/>
      </c>
    </row>
    <row r="8">
      <c r="A8" s="7">
        <f>Setup!E8</f>
        <v/>
      </c>
      <c r="B8" s="7">
        <f>COUNTIF(Employees!$E$5:$E$12,A8)</f>
        <v/>
      </c>
      <c r="C8" s="14">
        <f>SUMIFS(Payroll!$I$5:$I$12,Employees!$E$5:$E$12,A8)</f>
        <v/>
      </c>
      <c r="D8" s="14">
        <f>SUMIFS(Payroll!$Q$5:$Q$12,Employees!$E$5:$E$12,A8)+SUMIFS(Payroll!$R$5:$R$12,Employees!$E$5:$E$12,A8)+SUMIFS(Payroll!$S$5:$S$12,Employees!$E$5:$E$12,A8)</f>
        <v/>
      </c>
      <c r="E8" s="14">
        <f>C8+D8</f>
        <v/>
      </c>
      <c r="F8" s="20">
        <f>E8/Payroll!$T$13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20" customWidth="1" min="8" max="8"/>
    <col width="12" customWidth="1" min="9" max="9"/>
  </cols>
  <sheetData>
    <row r="1">
      <c r="A1" s="1" t="inlineStr">
        <is>
          <t>Payroll dashboard: October 2026</t>
        </is>
      </c>
    </row>
    <row r="2">
      <c r="A2" s="2" t="inlineStr">
        <is>
          <t>Formulas over the Payroll and Statutory dues sheets.</t>
        </is>
      </c>
    </row>
    <row r="4" ht="32" customHeight="1">
      <c r="A4" s="13" t="inlineStr">
        <is>
          <t>Gross earned</t>
        </is>
      </c>
      <c r="B4" s="13" t="inlineStr">
        <is>
          <t>Net pay</t>
        </is>
      </c>
      <c r="C4" s="13" t="inlineStr">
        <is>
          <t>Total employer cost</t>
        </is>
      </c>
      <c r="D4" s="13" t="inlineStr">
        <is>
          <t>PF to deposit</t>
        </is>
      </c>
      <c r="E4" s="13" t="inlineStr">
        <is>
          <t>ESI to deposit</t>
        </is>
      </c>
      <c r="F4" s="13" t="inlineStr">
        <is>
          <t>Employees under ESI</t>
        </is>
      </c>
      <c r="H4" t="inlineStr">
        <is>
          <t>Net pay</t>
        </is>
      </c>
      <c r="I4" s="14">
        <f>Payroll!P13</f>
        <v/>
      </c>
    </row>
    <row r="5" ht="30" customHeight="1">
      <c r="A5" s="21">
        <f>Payroll!I13</f>
        <v/>
      </c>
      <c r="B5" s="21">
        <f>Payroll!P13</f>
        <v/>
      </c>
      <c r="C5" s="21">
        <f>Payroll!T13</f>
        <v/>
      </c>
      <c r="D5" s="21">
        <f>'Statutory dues'!C12</f>
        <v/>
      </c>
      <c r="E5" s="21">
        <f>'Statutory dues'!C13</f>
        <v/>
      </c>
      <c r="F5" s="22">
        <f>'Statutory dues'!B8</f>
        <v/>
      </c>
      <c r="H5" t="inlineStr">
        <is>
          <t>PF + ESI (employee)</t>
        </is>
      </c>
      <c r="I5" s="14">
        <f>Payroll!K13+Payroll!L13</f>
        <v/>
      </c>
    </row>
    <row r="6">
      <c r="H6" t="inlineStr">
        <is>
          <t>PT + TDS + advance</t>
        </is>
      </c>
      <c r="I6" s="14">
        <f>Payroll!M13+Payroll!N13+Payroll!O13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