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Parts" sheetId="3" state="visible" r:id="rId3"/>
    <sheet xmlns:r="http://schemas.openxmlformats.org/officeDocument/2006/relationships" name="Jobs" sheetId="4" state="visible" r:id="rId4"/>
    <sheet xmlns:r="http://schemas.openxmlformats.org/officeDocument/2006/relationships" name="Report" sheetId="5" state="visible" r:id="rId5"/>
    <sheet xmlns:r="http://schemas.openxmlformats.org/officeDocument/2006/relationships" name="Job receipt" sheetId="6" state="visible" r:id="rId6"/>
    <sheet xmlns:r="http://schemas.openxmlformats.org/officeDocument/2006/relationships" name="Dashboard" sheetId="7" state="visible" r:id="rId7"/>
  </sheets>
  <definedNames>
    <definedName name="_xlnm.Print_Area" localSheetId="5">'Job receipt'!$A$1:$C$18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0.0%"/>
    <numFmt numFmtId="167" formatCode="[$₹-4009]#,##,##0;[Red]-[$₹-4009]#,##,##0"/>
    <numFmt numFmtId="168" formatCode="0.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167" fontId="0" fillId="2" borderId="1" pivotButton="0" quotePrefix="0" xfId="0"/>
    <xf numFmtId="0" fontId="0" fillId="4" borderId="1" pivotButton="0" quotePrefix="0" xfId="0"/>
    <xf numFmtId="167" fontId="0" fillId="4" borderId="1" pivotButton="0" quotePrefix="0" xfId="0"/>
    <xf numFmtId="165" fontId="0" fillId="4" borderId="1" pivotButton="0" quotePrefix="0" xfId="0"/>
    <xf numFmtId="168" fontId="0" fillId="4" borderId="1" pivotButton="0" quotePrefix="0" xfId="0"/>
    <xf numFmtId="0" fontId="0" fillId="0" borderId="1" pivotButton="0" quotePrefix="0" xfId="0"/>
    <xf numFmtId="0" fontId="4" fillId="4" borderId="1" applyAlignment="1" pivotButton="0" quotePrefix="0" xfId="0">
      <alignment horizontal="center"/>
    </xf>
    <xf numFmtId="168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Jobs by flag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'Report'!$A$10:$A$13</f>
            </numRef>
          </cat>
          <val>
            <numRef>
              <f>'Report'!$B$10:$B$13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technician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'Report'!$A$5:$A$6</f>
            </numRef>
          </cat>
          <val>
            <numRef>
              <f>'Report'!$F$5:$F$6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Mobile repair job card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(mark-up, promise days, warranty), Parts, Jobs (job cards), Report, Job receipt (printable), Dashboard.</t>
        </is>
      </c>
    </row>
    <row r="8">
      <c r="A8" t="inlineStr">
        <is>
          <t>Write the job card before you open the phone, and note what the customer says is wrong in their words.</t>
        </is>
      </c>
    </row>
    <row r="9">
      <c r="A9" t="inlineStr">
        <is>
          <t>Type the delivered date only when the customer collects the phone.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4" customWidth="1" min="1" max="1"/>
    <col width="11" customWidth="1" min="2" max="2"/>
    <col width="12" customWidth="1" min="4" max="4"/>
    <col width="16" customWidth="1" min="5" max="5"/>
  </cols>
  <sheetData>
    <row r="1">
      <c r="A1" s="1" t="inlineStr">
        <is>
          <t>Mobile Repair Job Card System: Setup (Salman Mobile Care, Pune)</t>
        </is>
      </c>
    </row>
    <row r="2">
      <c r="A2" s="2" t="inlineStr">
        <is>
          <t>Made-up jobs, parts and charges for 1 to 17 October 2026. Charges are as quoted to the customer.</t>
        </is>
      </c>
      <c r="D2" s="3" t="inlineStr">
        <is>
          <t>Technicians</t>
        </is>
      </c>
      <c r="E2" s="3" t="inlineStr">
        <is>
          <t>Status</t>
        </is>
      </c>
    </row>
    <row r="3">
      <c r="A3" s="4" t="inlineStr">
        <is>
          <t>As-of date</t>
        </is>
      </c>
      <c r="B3" s="5" t="n">
        <v>46312</v>
      </c>
      <c r="D3" s="6" t="inlineStr">
        <is>
          <t>Salman</t>
        </is>
      </c>
      <c r="E3" s="6" t="inlineStr">
        <is>
          <t>Received</t>
        </is>
      </c>
    </row>
    <row r="4">
      <c r="A4" s="4" t="inlineStr">
        <is>
          <t>Mark-up on part cost</t>
        </is>
      </c>
      <c r="B4" s="7" t="n">
        <v>0.3</v>
      </c>
      <c r="D4" s="6" t="inlineStr">
        <is>
          <t>Amir</t>
        </is>
      </c>
      <c r="E4" s="6" t="inlineStr">
        <is>
          <t>Waiting for part</t>
        </is>
      </c>
    </row>
    <row r="5">
      <c r="A5" s="4" t="inlineStr">
        <is>
          <t>Standard promise (days)</t>
        </is>
      </c>
      <c r="B5" s="6" t="n">
        <v>2</v>
      </c>
      <c r="E5" s="6" t="inlineStr">
        <is>
          <t>Ready</t>
        </is>
      </c>
    </row>
    <row r="6">
      <c r="A6" s="4" t="inlineStr">
        <is>
          <t>Repair warranty (days)</t>
        </is>
      </c>
      <c r="B6" s="6" t="n">
        <v>30</v>
      </c>
      <c r="E6" s="6" t="inlineStr">
        <is>
          <t>Delivered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8" customWidth="1" min="4" max="4"/>
    <col width="12" customWidth="1" min="5" max="5"/>
    <col width="6" customWidth="1" min="6" max="6"/>
    <col width="8" customWidth="1" min="7" max="7"/>
    <col width="7" customWidth="1" min="8" max="8"/>
  </cols>
  <sheetData>
    <row r="1">
      <c r="A1" s="1" t="inlineStr">
        <is>
          <t>Parts stock</t>
        </is>
      </c>
    </row>
    <row r="2">
      <c r="A2" s="2" t="inlineStr">
        <is>
          <t>Used = parts fitted on job cards. Order when closing ≤ reorder level.</t>
        </is>
      </c>
    </row>
    <row r="4">
      <c r="A4" s="8" t="inlineStr">
        <is>
          <t>Part code</t>
        </is>
      </c>
      <c r="B4" s="8" t="inlineStr">
        <is>
          <t>Part</t>
        </is>
      </c>
      <c r="C4" s="8" t="inlineStr">
        <is>
          <t>Cost (₹)</t>
        </is>
      </c>
      <c r="D4" s="8" t="inlineStr">
        <is>
          <t>Opening</t>
        </is>
      </c>
      <c r="E4" s="8" t="inlineStr">
        <is>
          <t>Reorder level</t>
        </is>
      </c>
      <c r="F4" s="8" t="inlineStr">
        <is>
          <t>Used</t>
        </is>
      </c>
      <c r="G4" s="8" t="inlineStr">
        <is>
          <t>Closing</t>
        </is>
      </c>
      <c r="H4" s="8" t="inlineStr">
        <is>
          <t>Order?</t>
        </is>
      </c>
    </row>
    <row r="5">
      <c r="A5" s="6" t="inlineStr">
        <is>
          <t>P01</t>
        </is>
      </c>
      <c r="B5" s="6" t="inlineStr">
        <is>
          <t>Screen 6.5 in</t>
        </is>
      </c>
      <c r="C5" s="9" t="n">
        <v>1800</v>
      </c>
      <c r="D5" s="6" t="n">
        <v>4</v>
      </c>
      <c r="E5" s="6" t="n">
        <v>2</v>
      </c>
      <c r="F5" s="10">
        <f>COUNTIF(Jobs!$F$5:$F$500,A5)</f>
        <v/>
      </c>
      <c r="G5" s="10">
        <f>D5-F5</f>
        <v/>
      </c>
      <c r="H5" s="10">
        <f>IF(A5="P00","-",IF(G5&lt;=E5,"Yes","No"))</f>
        <v/>
      </c>
    </row>
    <row r="6">
      <c r="A6" s="6" t="inlineStr">
        <is>
          <t>P02</t>
        </is>
      </c>
      <c r="B6" s="6" t="inlineStr">
        <is>
          <t>Battery 5000 mAh</t>
        </is>
      </c>
      <c r="C6" s="9" t="n">
        <v>650</v>
      </c>
      <c r="D6" s="6" t="n">
        <v>10</v>
      </c>
      <c r="E6" s="6" t="n">
        <v>3</v>
      </c>
      <c r="F6" s="10">
        <f>COUNTIF(Jobs!$F$5:$F$500,A6)</f>
        <v/>
      </c>
      <c r="G6" s="10">
        <f>D6-F6</f>
        <v/>
      </c>
      <c r="H6" s="10">
        <f>IF(A6="P00","-",IF(G6&lt;=E6,"Yes","No"))</f>
        <v/>
      </c>
    </row>
    <row r="7">
      <c r="A7" s="6" t="inlineStr">
        <is>
          <t>P03</t>
        </is>
      </c>
      <c r="B7" s="6" t="inlineStr">
        <is>
          <t>Charging port</t>
        </is>
      </c>
      <c r="C7" s="9" t="n">
        <v>180</v>
      </c>
      <c r="D7" s="6" t="n">
        <v>15</v>
      </c>
      <c r="E7" s="6" t="n">
        <v>4</v>
      </c>
      <c r="F7" s="10">
        <f>COUNTIF(Jobs!$F$5:$F$500,A7)</f>
        <v/>
      </c>
      <c r="G7" s="10">
        <f>D7-F7</f>
        <v/>
      </c>
      <c r="H7" s="10">
        <f>IF(A7="P00","-",IF(G7&lt;=E7,"Yes","No"))</f>
        <v/>
      </c>
    </row>
    <row r="8">
      <c r="A8" s="6" t="inlineStr">
        <is>
          <t>P04</t>
        </is>
      </c>
      <c r="B8" s="6" t="inlineStr">
        <is>
          <t>Speaker</t>
        </is>
      </c>
      <c r="C8" s="9" t="n">
        <v>220</v>
      </c>
      <c r="D8" s="6" t="n">
        <v>8</v>
      </c>
      <c r="E8" s="6" t="n">
        <v>2</v>
      </c>
      <c r="F8" s="10">
        <f>COUNTIF(Jobs!$F$5:$F$500,A8)</f>
        <v/>
      </c>
      <c r="G8" s="10">
        <f>D8-F8</f>
        <v/>
      </c>
      <c r="H8" s="10">
        <f>IF(A8="P00","-",IF(G8&lt;=E8,"Yes","No"))</f>
        <v/>
      </c>
    </row>
    <row r="9">
      <c r="A9" s="6" t="inlineStr">
        <is>
          <t>P05</t>
        </is>
      </c>
      <c r="B9" s="6" t="inlineStr">
        <is>
          <t>Back glass</t>
        </is>
      </c>
      <c r="C9" s="9" t="n">
        <v>350</v>
      </c>
      <c r="D9" s="6" t="n">
        <v>6</v>
      </c>
      <c r="E9" s="6" t="n">
        <v>2</v>
      </c>
      <c r="F9" s="10">
        <f>COUNTIF(Jobs!$F$5:$F$500,A9)</f>
        <v/>
      </c>
      <c r="G9" s="10">
        <f>D9-F9</f>
        <v/>
      </c>
      <c r="H9" s="10">
        <f>IF(A9="P00","-",IF(G9&lt;=E9,"Yes","No"))</f>
        <v/>
      </c>
    </row>
    <row r="10">
      <c r="A10" s="6" t="inlineStr">
        <is>
          <t>P00</t>
        </is>
      </c>
      <c r="B10" s="6" t="inlineStr">
        <is>
          <t>No part</t>
        </is>
      </c>
      <c r="C10" s="9" t="n">
        <v>0</v>
      </c>
      <c r="D10" s="6" t="n">
        <v>0</v>
      </c>
      <c r="E10" s="6" t="n">
        <v>0</v>
      </c>
      <c r="F10" s="10">
        <f>COUNTIF(Jobs!$F$5:$F$500,A10)</f>
        <v/>
      </c>
      <c r="G10" s="10">
        <f>D10-F10</f>
        <v/>
      </c>
      <c r="H10" s="10">
        <f>IF(A10="P00","-",IF(G10&lt;=E10,"Yes","No"))</f>
        <v/>
      </c>
    </row>
  </sheetData>
  <conditionalFormatting sqref="H5:H10">
    <cfRule type="cellIs" priority="1" operator="equal" dxfId="0">
      <formula>"Yes"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5" customWidth="1" min="3" max="3"/>
    <col width="19" customWidth="1" min="4" max="4"/>
    <col width="18" customWidth="1" min="5" max="5"/>
    <col width="8" customWidth="1" min="6" max="6"/>
    <col width="11" customWidth="1" min="7" max="7"/>
    <col width="9" customWidth="1" min="8" max="8"/>
    <col width="9" customWidth="1" min="9" max="9"/>
    <col width="10" customWidth="1" min="10" max="10"/>
    <col width="9" customWidth="1" min="11" max="11"/>
    <col width="10" customWidth="1" min="12" max="12"/>
    <col width="15" customWidth="1" min="13" max="13"/>
    <col width="11" customWidth="1" min="14" max="14"/>
    <col width="11" customWidth="1" min="15" max="15"/>
    <col width="18" customWidth="1" min="16" max="16"/>
    <col width="9" customWidth="1" min="17" max="17"/>
    <col width="12" customWidth="1" min="18" max="18"/>
  </cols>
  <sheetData>
    <row r="1">
      <c r="A1" s="1" t="inlineStr">
        <is>
          <t>Job cards</t>
        </is>
      </c>
    </row>
    <row r="2">
      <c r="A2" s="2" t="inlineStr">
        <is>
          <t>One row per phone. Charge = part cost × (1 + mark-up) + labour. Promised = date in + standard days.</t>
        </is>
      </c>
    </row>
    <row r="4">
      <c r="A4" s="8" t="inlineStr">
        <is>
          <t>Job no</t>
        </is>
      </c>
      <c r="B4" s="8" t="inlineStr">
        <is>
          <t>Date in</t>
        </is>
      </c>
      <c r="C4" s="8" t="inlineStr">
        <is>
          <t>Customer</t>
        </is>
      </c>
      <c r="D4" s="8" t="inlineStr">
        <is>
          <t>Device</t>
        </is>
      </c>
      <c r="E4" s="8" t="inlineStr">
        <is>
          <t>Fault</t>
        </is>
      </c>
      <c r="F4" s="8" t="inlineStr">
        <is>
          <t>Part code</t>
        </is>
      </c>
      <c r="G4" s="8" t="inlineStr">
        <is>
          <t>Part charge (₹)</t>
        </is>
      </c>
      <c r="H4" s="8" t="inlineStr">
        <is>
          <t>Labour (₹)</t>
        </is>
      </c>
      <c r="I4" s="8" t="inlineStr">
        <is>
          <t>Total (₹)</t>
        </is>
      </c>
      <c r="J4" s="8" t="inlineStr">
        <is>
          <t>Advance (₹)</t>
        </is>
      </c>
      <c r="K4" s="8" t="inlineStr">
        <is>
          <t>Balance (₹)</t>
        </is>
      </c>
      <c r="L4" s="8" t="inlineStr">
        <is>
          <t>Technician</t>
        </is>
      </c>
      <c r="M4" s="8" t="inlineStr">
        <is>
          <t>Status</t>
        </is>
      </c>
      <c r="N4" s="8" t="inlineStr">
        <is>
          <t>Promised</t>
        </is>
      </c>
      <c r="O4" s="8" t="inlineStr">
        <is>
          <t>Delivered</t>
        </is>
      </c>
      <c r="P4" s="8" t="inlineStr">
        <is>
          <t>Flag</t>
        </is>
      </c>
      <c r="Q4" s="8" t="inlineStr">
        <is>
          <t>Days taken</t>
        </is>
      </c>
      <c r="R4" s="8" t="inlineStr">
        <is>
          <t>Warranty till</t>
        </is>
      </c>
    </row>
    <row r="5">
      <c r="A5" s="10">
        <f>"J-"&amp;TEXT(ROW()-4,"000")</f>
        <v/>
      </c>
      <c r="B5" s="5" t="n">
        <v>46296</v>
      </c>
      <c r="C5" s="6" t="inlineStr">
        <is>
          <t>Ravina More</t>
        </is>
      </c>
      <c r="D5" s="6" t="inlineStr">
        <is>
          <t>Android phone 6.5 in</t>
        </is>
      </c>
      <c r="E5" s="6" t="inlineStr">
        <is>
          <t>Broken screen</t>
        </is>
      </c>
      <c r="F5" s="6" t="inlineStr">
        <is>
          <t>P01</t>
        </is>
      </c>
      <c r="G5" s="11">
        <f>ROUND(_xlfn.XLOOKUP(F5,Parts!$A$5:$A$10,Parts!$C$5:$C$10,0)*(1+Setup!$B$4),0)</f>
        <v/>
      </c>
      <c r="H5" s="9" t="n">
        <v>400</v>
      </c>
      <c r="I5" s="11">
        <f>G5+H5</f>
        <v/>
      </c>
      <c r="J5" s="9" t="n">
        <v>0</v>
      </c>
      <c r="K5" s="11">
        <f>IF(O5&lt;&gt;"",0,I5-J5)</f>
        <v/>
      </c>
      <c r="L5" s="6" t="inlineStr">
        <is>
          <t>Salman</t>
        </is>
      </c>
      <c r="M5" s="6" t="inlineStr">
        <is>
          <t>Delivered</t>
        </is>
      </c>
      <c r="N5" s="12">
        <f>B5+Setup!$B$5</f>
        <v/>
      </c>
      <c r="O5" s="5" t="n">
        <v>46298</v>
      </c>
      <c r="P5" s="10">
        <f>IF(O5&lt;&gt;"","Delivered",IF(M5="Ready","Ready, not collected",IF(N5&lt;Setup!$B$3,"Overdue","On track")))</f>
        <v/>
      </c>
      <c r="Q5" s="10">
        <f>IF(O5&lt;&gt;"",O5-B5,"")</f>
        <v/>
      </c>
      <c r="R5" s="12">
        <f>IF(O5&lt;&gt;"",O5+Setup!$B$6,"")</f>
        <v/>
      </c>
    </row>
    <row r="6">
      <c r="A6" s="10">
        <f>"J-"&amp;TEXT(ROW()-4,"000")</f>
        <v/>
      </c>
      <c r="B6" s="5" t="n">
        <v>46296</v>
      </c>
      <c r="C6" s="6" t="inlineStr">
        <is>
          <t>Raja Jadhav</t>
        </is>
      </c>
      <c r="D6" s="6" t="inlineStr">
        <is>
          <t>Android phone 6.1 in</t>
        </is>
      </c>
      <c r="E6" s="6" t="inlineStr">
        <is>
          <t>Battery drains fast</t>
        </is>
      </c>
      <c r="F6" s="6" t="inlineStr">
        <is>
          <t>P02</t>
        </is>
      </c>
      <c r="G6" s="11">
        <f>ROUND(_xlfn.XLOOKUP(F6,Parts!$A$5:$A$10,Parts!$C$5:$C$10,0)*(1+Setup!$B$4),0)</f>
        <v/>
      </c>
      <c r="H6" s="9" t="n">
        <v>250</v>
      </c>
      <c r="I6" s="11">
        <f>G6+H6</f>
        <v/>
      </c>
      <c r="J6" s="9" t="n">
        <v>0</v>
      </c>
      <c r="K6" s="11">
        <f>IF(O6&lt;&gt;"",0,I6-J6)</f>
        <v/>
      </c>
      <c r="L6" s="6" t="inlineStr">
        <is>
          <t>Amir</t>
        </is>
      </c>
      <c r="M6" s="6" t="inlineStr">
        <is>
          <t>Delivered</t>
        </is>
      </c>
      <c r="N6" s="12">
        <f>B6+Setup!$B$5</f>
        <v/>
      </c>
      <c r="O6" s="5" t="n">
        <v>46297</v>
      </c>
      <c r="P6" s="10">
        <f>IF(O6&lt;&gt;"","Delivered",IF(M6="Ready","Ready, not collected",IF(N6&lt;Setup!$B$3,"Overdue","On track")))</f>
        <v/>
      </c>
      <c r="Q6" s="10">
        <f>IF(O6&lt;&gt;"",O6-B6,"")</f>
        <v/>
      </c>
      <c r="R6" s="12">
        <f>IF(O6&lt;&gt;"",O6+Setup!$B$6,"")</f>
        <v/>
      </c>
    </row>
    <row r="7">
      <c r="A7" s="10">
        <f>"J-"&amp;TEXT(ROW()-4,"000")</f>
        <v/>
      </c>
      <c r="B7" s="5" t="n">
        <v>46297</v>
      </c>
      <c r="C7" s="6" t="inlineStr">
        <is>
          <t>Zoya Khan</t>
        </is>
      </c>
      <c r="D7" s="6" t="inlineStr">
        <is>
          <t>Tablet 10 in</t>
        </is>
      </c>
      <c r="E7" s="6" t="inlineStr">
        <is>
          <t>Not charging</t>
        </is>
      </c>
      <c r="F7" s="6" t="inlineStr">
        <is>
          <t>P03</t>
        </is>
      </c>
      <c r="G7" s="11">
        <f>ROUND(_xlfn.XLOOKUP(F7,Parts!$A$5:$A$10,Parts!$C$5:$C$10,0)*(1+Setup!$B$4),0)</f>
        <v/>
      </c>
      <c r="H7" s="9" t="n">
        <v>300</v>
      </c>
      <c r="I7" s="11">
        <f>G7+H7</f>
        <v/>
      </c>
      <c r="J7" s="9" t="n">
        <v>0</v>
      </c>
      <c r="K7" s="11">
        <f>IF(O7&lt;&gt;"",0,I7-J7)</f>
        <v/>
      </c>
      <c r="L7" s="6" t="inlineStr">
        <is>
          <t>Amir</t>
        </is>
      </c>
      <c r="M7" s="6" t="inlineStr">
        <is>
          <t>Delivered</t>
        </is>
      </c>
      <c r="N7" s="12">
        <f>B7+Setup!$B$5</f>
        <v/>
      </c>
      <c r="O7" s="5" t="n">
        <v>46299</v>
      </c>
      <c r="P7" s="10">
        <f>IF(O7&lt;&gt;"","Delivered",IF(M7="Ready","Ready, not collected",IF(N7&lt;Setup!$B$3,"Overdue","On track")))</f>
        <v/>
      </c>
      <c r="Q7" s="10">
        <f>IF(O7&lt;&gt;"",O7-B7,"")</f>
        <v/>
      </c>
      <c r="R7" s="12">
        <f>IF(O7&lt;&gt;"",O7+Setup!$B$6,"")</f>
        <v/>
      </c>
    </row>
    <row r="8">
      <c r="A8" s="10">
        <f>"J-"&amp;TEXT(ROW()-4,"000")</f>
        <v/>
      </c>
      <c r="B8" s="5" t="n">
        <v>46298</v>
      </c>
      <c r="C8" s="6" t="inlineStr">
        <is>
          <t>Shahrukh Mulla</t>
        </is>
      </c>
      <c r="D8" s="6" t="inlineStr">
        <is>
          <t>Android phone 6.5 in</t>
        </is>
      </c>
      <c r="E8" s="6" t="inlineStr">
        <is>
          <t>No sound on calls</t>
        </is>
      </c>
      <c r="F8" s="6" t="inlineStr">
        <is>
          <t>P04</t>
        </is>
      </c>
      <c r="G8" s="11">
        <f>ROUND(_xlfn.XLOOKUP(F8,Parts!$A$5:$A$10,Parts!$C$5:$C$10,0)*(1+Setup!$B$4),0)</f>
        <v/>
      </c>
      <c r="H8" s="9" t="n">
        <v>250</v>
      </c>
      <c r="I8" s="11">
        <f>G8+H8</f>
        <v/>
      </c>
      <c r="J8" s="9" t="n">
        <v>0</v>
      </c>
      <c r="K8" s="11">
        <f>IF(O8&lt;&gt;"",0,I8-J8)</f>
        <v/>
      </c>
      <c r="L8" s="6" t="inlineStr">
        <is>
          <t>Salman</t>
        </is>
      </c>
      <c r="M8" s="6" t="inlineStr">
        <is>
          <t>Delivered</t>
        </is>
      </c>
      <c r="N8" s="12">
        <f>B8+Setup!$B$5</f>
        <v/>
      </c>
      <c r="O8" s="5" t="n">
        <v>46300</v>
      </c>
      <c r="P8" s="10">
        <f>IF(O8&lt;&gt;"","Delivered",IF(M8="Ready","Ready, not collected",IF(N8&lt;Setup!$B$3,"Overdue","On track")))</f>
        <v/>
      </c>
      <c r="Q8" s="10">
        <f>IF(O8&lt;&gt;"",O8-B8,"")</f>
        <v/>
      </c>
      <c r="R8" s="12">
        <f>IF(O8&lt;&gt;"",O8+Setup!$B$6,"")</f>
        <v/>
      </c>
    </row>
    <row r="9">
      <c r="A9" s="10">
        <f>"J-"&amp;TEXT(ROW()-4,"000")</f>
        <v/>
      </c>
      <c r="B9" s="5" t="n">
        <v>46300</v>
      </c>
      <c r="C9" s="6" t="inlineStr">
        <is>
          <t>Rani Patil</t>
        </is>
      </c>
      <c r="D9" s="6" t="inlineStr">
        <is>
          <t>Android phone 6.7 in</t>
        </is>
      </c>
      <c r="E9" s="6" t="inlineStr">
        <is>
          <t>Water damage check</t>
        </is>
      </c>
      <c r="F9" s="6" t="inlineStr">
        <is>
          <t>P00</t>
        </is>
      </c>
      <c r="G9" s="11">
        <f>ROUND(_xlfn.XLOOKUP(F9,Parts!$A$5:$A$10,Parts!$C$5:$C$10,0)*(1+Setup!$B$4),0)</f>
        <v/>
      </c>
      <c r="H9" s="9" t="n">
        <v>300</v>
      </c>
      <c r="I9" s="11">
        <f>G9+H9</f>
        <v/>
      </c>
      <c r="J9" s="9" t="n">
        <v>0</v>
      </c>
      <c r="K9" s="11">
        <f>IF(O9&lt;&gt;"",0,I9-J9)</f>
        <v/>
      </c>
      <c r="L9" s="6" t="inlineStr">
        <is>
          <t>Salman</t>
        </is>
      </c>
      <c r="M9" s="6" t="inlineStr">
        <is>
          <t>Delivered</t>
        </is>
      </c>
      <c r="N9" s="12">
        <f>B9+Setup!$B$5</f>
        <v/>
      </c>
      <c r="O9" s="5" t="n">
        <v>46301</v>
      </c>
      <c r="P9" s="10">
        <f>IF(O9&lt;&gt;"","Delivered",IF(M9="Ready","Ready, not collected",IF(N9&lt;Setup!$B$3,"Overdue","On track")))</f>
        <v/>
      </c>
      <c r="Q9" s="10">
        <f>IF(O9&lt;&gt;"",O9-B9,"")</f>
        <v/>
      </c>
      <c r="R9" s="12">
        <f>IF(O9&lt;&gt;"",O9+Setup!$B$6,"")</f>
        <v/>
      </c>
    </row>
    <row r="10">
      <c r="A10" s="10">
        <f>"J-"&amp;TEXT(ROW()-4,"000")</f>
        <v/>
      </c>
      <c r="B10" s="5" t="n">
        <v>46301</v>
      </c>
      <c r="C10" s="6" t="inlineStr">
        <is>
          <t>Amir Sayyed</t>
        </is>
      </c>
      <c r="D10" s="6" t="inlineStr">
        <is>
          <t>Android phone 6.5 in</t>
        </is>
      </c>
      <c r="E10" s="6" t="inlineStr">
        <is>
          <t>Broken screen</t>
        </is>
      </c>
      <c r="F10" s="6" t="inlineStr">
        <is>
          <t>P01</t>
        </is>
      </c>
      <c r="G10" s="11">
        <f>ROUND(_xlfn.XLOOKUP(F10,Parts!$A$5:$A$10,Parts!$C$5:$C$10,0)*(1+Setup!$B$4),0)</f>
        <v/>
      </c>
      <c r="H10" s="9" t="n">
        <v>400</v>
      </c>
      <c r="I10" s="11">
        <f>G10+H10</f>
        <v/>
      </c>
      <c r="J10" s="9" t="n">
        <v>0</v>
      </c>
      <c r="K10" s="11">
        <f>IF(O10&lt;&gt;"",0,I10-J10)</f>
        <v/>
      </c>
      <c r="L10" s="6" t="inlineStr">
        <is>
          <t>Amir</t>
        </is>
      </c>
      <c r="M10" s="6" t="inlineStr">
        <is>
          <t>Delivered</t>
        </is>
      </c>
      <c r="N10" s="12">
        <f>B10+Setup!$B$5</f>
        <v/>
      </c>
      <c r="O10" s="5" t="n">
        <v>46303</v>
      </c>
      <c r="P10" s="10">
        <f>IF(O10&lt;&gt;"","Delivered",IF(M10="Ready","Ready, not collected",IF(N10&lt;Setup!$B$3,"Overdue","On track")))</f>
        <v/>
      </c>
      <c r="Q10" s="10">
        <f>IF(O10&lt;&gt;"",O10-B10,"")</f>
        <v/>
      </c>
      <c r="R10" s="12">
        <f>IF(O10&lt;&gt;"",O10+Setup!$B$6,"")</f>
        <v/>
      </c>
    </row>
    <row r="11">
      <c r="A11" s="10">
        <f>"J-"&amp;TEXT(ROW()-4,"000")</f>
        <v/>
      </c>
      <c r="B11" s="5" t="n">
        <v>46303</v>
      </c>
      <c r="C11" s="6" t="inlineStr">
        <is>
          <t>Shraddha Jadhav</t>
        </is>
      </c>
      <c r="D11" s="6" t="inlineStr">
        <is>
          <t>Feature phone</t>
        </is>
      </c>
      <c r="E11" s="6" t="inlineStr">
        <is>
          <t>Charging port loose</t>
        </is>
      </c>
      <c r="F11" s="6" t="inlineStr">
        <is>
          <t>P03</t>
        </is>
      </c>
      <c r="G11" s="11">
        <f>ROUND(_xlfn.XLOOKUP(F11,Parts!$A$5:$A$10,Parts!$C$5:$C$10,0)*(1+Setup!$B$4),0)</f>
        <v/>
      </c>
      <c r="H11" s="9" t="n">
        <v>150</v>
      </c>
      <c r="I11" s="11">
        <f>G11+H11</f>
        <v/>
      </c>
      <c r="J11" s="9" t="n">
        <v>0</v>
      </c>
      <c r="K11" s="11">
        <f>IF(O11&lt;&gt;"",0,I11-J11)</f>
        <v/>
      </c>
      <c r="L11" s="6" t="inlineStr">
        <is>
          <t>Amir</t>
        </is>
      </c>
      <c r="M11" s="6" t="inlineStr">
        <is>
          <t>Delivered</t>
        </is>
      </c>
      <c r="N11" s="12">
        <f>B11+Setup!$B$5</f>
        <v/>
      </c>
      <c r="O11" s="5" t="n">
        <v>46304</v>
      </c>
      <c r="P11" s="10">
        <f>IF(O11&lt;&gt;"","Delivered",IF(M11="Ready","Ready, not collected",IF(N11&lt;Setup!$B$3,"Overdue","On track")))</f>
        <v/>
      </c>
      <c r="Q11" s="10">
        <f>IF(O11&lt;&gt;"",O11-B11,"")</f>
        <v/>
      </c>
      <c r="R11" s="12">
        <f>IF(O11&lt;&gt;"",O11+Setup!$B$6,"")</f>
        <v/>
      </c>
    </row>
    <row r="12">
      <c r="A12" s="10">
        <f>"J-"&amp;TEXT(ROW()-4,"000")</f>
        <v/>
      </c>
      <c r="B12" s="5" t="n">
        <v>46304</v>
      </c>
      <c r="C12" s="6" t="inlineStr">
        <is>
          <t>Salman Qureshi</t>
        </is>
      </c>
      <c r="D12" s="6" t="inlineStr">
        <is>
          <t>Android phone 6.1 in</t>
        </is>
      </c>
      <c r="E12" s="6" t="inlineStr">
        <is>
          <t>Back glass cracked</t>
        </is>
      </c>
      <c r="F12" s="6" t="inlineStr">
        <is>
          <t>P05</t>
        </is>
      </c>
      <c r="G12" s="11">
        <f>ROUND(_xlfn.XLOOKUP(F12,Parts!$A$5:$A$10,Parts!$C$5:$C$10,0)*(1+Setup!$B$4),0)</f>
        <v/>
      </c>
      <c r="H12" s="9" t="n">
        <v>250</v>
      </c>
      <c r="I12" s="11">
        <f>G12+H12</f>
        <v/>
      </c>
      <c r="J12" s="9" t="n">
        <v>0</v>
      </c>
      <c r="K12" s="11">
        <f>IF(O12&lt;&gt;"",0,I12-J12)</f>
        <v/>
      </c>
      <c r="L12" s="6" t="inlineStr">
        <is>
          <t>Salman</t>
        </is>
      </c>
      <c r="M12" s="6" t="inlineStr">
        <is>
          <t>Delivered</t>
        </is>
      </c>
      <c r="N12" s="12">
        <f>B12+Setup!$B$5</f>
        <v/>
      </c>
      <c r="O12" s="5" t="n">
        <v>46307</v>
      </c>
      <c r="P12" s="10">
        <f>IF(O12&lt;&gt;"","Delivered",IF(M12="Ready","Ready, not collected",IF(N12&lt;Setup!$B$3,"Overdue","On track")))</f>
        <v/>
      </c>
      <c r="Q12" s="10">
        <f>IF(O12&lt;&gt;"",O12-B12,"")</f>
        <v/>
      </c>
      <c r="R12" s="12">
        <f>IF(O12&lt;&gt;"",O12+Setup!$B$6,"")</f>
        <v/>
      </c>
    </row>
    <row r="13">
      <c r="A13" s="10">
        <f>"J-"&amp;TEXT(ROW()-4,"000")</f>
        <v/>
      </c>
      <c r="B13" s="5" t="n">
        <v>46306</v>
      </c>
      <c r="C13" s="6" t="inlineStr">
        <is>
          <t>Ruhi Pawar</t>
        </is>
      </c>
      <c r="D13" s="6" t="inlineStr">
        <is>
          <t>Android phone 6.5 in</t>
        </is>
      </c>
      <c r="E13" s="6" t="inlineStr">
        <is>
          <t>Battery swelling</t>
        </is>
      </c>
      <c r="F13" s="6" t="inlineStr">
        <is>
          <t>P02</t>
        </is>
      </c>
      <c r="G13" s="11">
        <f>ROUND(_xlfn.XLOOKUP(F13,Parts!$A$5:$A$10,Parts!$C$5:$C$10,0)*(1+Setup!$B$4),0)</f>
        <v/>
      </c>
      <c r="H13" s="9" t="n">
        <v>250</v>
      </c>
      <c r="I13" s="11">
        <f>G13+H13</f>
        <v/>
      </c>
      <c r="J13" s="9" t="n">
        <v>0</v>
      </c>
      <c r="K13" s="11">
        <f>IF(O13&lt;&gt;"",0,I13-J13)</f>
        <v/>
      </c>
      <c r="L13" s="6" t="inlineStr">
        <is>
          <t>Salman</t>
        </is>
      </c>
      <c r="M13" s="6" t="inlineStr">
        <is>
          <t>Ready</t>
        </is>
      </c>
      <c r="N13" s="12">
        <f>B13+Setup!$B$5</f>
        <v/>
      </c>
      <c r="O13" s="5" t="n"/>
      <c r="P13" s="10">
        <f>IF(O13&lt;&gt;"","Delivered",IF(M13="Ready","Ready, not collected",IF(N13&lt;Setup!$B$3,"Overdue","On track")))</f>
        <v/>
      </c>
      <c r="Q13" s="10">
        <f>IF(O13&lt;&gt;"",O13-B13,"")</f>
        <v/>
      </c>
      <c r="R13" s="12">
        <f>IF(O13&lt;&gt;"",O13+Setup!$B$6,"")</f>
        <v/>
      </c>
    </row>
    <row r="14">
      <c r="A14" s="10">
        <f>"J-"&amp;TEXT(ROW()-4,"000")</f>
        <v/>
      </c>
      <c r="B14" s="5" t="n">
        <v>46307</v>
      </c>
      <c r="C14" s="6" t="inlineStr">
        <is>
          <t>Raja Kale</t>
        </is>
      </c>
      <c r="D14" s="6" t="inlineStr">
        <is>
          <t>Android phone 6.7 in</t>
        </is>
      </c>
      <c r="E14" s="6" t="inlineStr">
        <is>
          <t>Broken screen</t>
        </is>
      </c>
      <c r="F14" s="6" t="inlineStr">
        <is>
          <t>P01</t>
        </is>
      </c>
      <c r="G14" s="11">
        <f>ROUND(_xlfn.XLOOKUP(F14,Parts!$A$5:$A$10,Parts!$C$5:$C$10,0)*(1+Setup!$B$4),0)</f>
        <v/>
      </c>
      <c r="H14" s="9" t="n">
        <v>400</v>
      </c>
      <c r="I14" s="11">
        <f>G14+H14</f>
        <v/>
      </c>
      <c r="J14" s="9" t="n">
        <v>1000</v>
      </c>
      <c r="K14" s="11">
        <f>IF(O14&lt;&gt;"",0,I14-J14)</f>
        <v/>
      </c>
      <c r="L14" s="6" t="inlineStr">
        <is>
          <t>Amir</t>
        </is>
      </c>
      <c r="M14" s="6" t="inlineStr">
        <is>
          <t>Waiting for part</t>
        </is>
      </c>
      <c r="N14" s="12">
        <f>B14+Setup!$B$5</f>
        <v/>
      </c>
      <c r="O14" s="5" t="n"/>
      <c r="P14" s="10">
        <f>IF(O14&lt;&gt;"","Delivered",IF(M14="Ready","Ready, not collected",IF(N14&lt;Setup!$B$3,"Overdue","On track")))</f>
        <v/>
      </c>
      <c r="Q14" s="10">
        <f>IF(O14&lt;&gt;"",O14-B14,"")</f>
        <v/>
      </c>
      <c r="R14" s="12">
        <f>IF(O14&lt;&gt;"",O14+Setup!$B$6,"")</f>
        <v/>
      </c>
    </row>
    <row r="15">
      <c r="A15" s="10">
        <f>"J-"&amp;TEXT(ROW()-4,"000")</f>
        <v/>
      </c>
      <c r="B15" s="5" t="n">
        <v>46309</v>
      </c>
      <c r="C15" s="6" t="inlineStr">
        <is>
          <t>Zoya Inamdar</t>
        </is>
      </c>
      <c r="D15" s="6" t="inlineStr">
        <is>
          <t>Tablet 10 in</t>
        </is>
      </c>
      <c r="E15" s="6" t="inlineStr">
        <is>
          <t>Software reset</t>
        </is>
      </c>
      <c r="F15" s="6" t="inlineStr">
        <is>
          <t>P00</t>
        </is>
      </c>
      <c r="G15" s="11">
        <f>ROUND(_xlfn.XLOOKUP(F15,Parts!$A$5:$A$10,Parts!$C$5:$C$10,0)*(1+Setup!$B$4),0)</f>
        <v/>
      </c>
      <c r="H15" s="9" t="n">
        <v>400</v>
      </c>
      <c r="I15" s="11">
        <f>G15+H15</f>
        <v/>
      </c>
      <c r="J15" s="9" t="n">
        <v>0</v>
      </c>
      <c r="K15" s="11">
        <f>IF(O15&lt;&gt;"",0,I15-J15)</f>
        <v/>
      </c>
      <c r="L15" s="6" t="inlineStr">
        <is>
          <t>Amir</t>
        </is>
      </c>
      <c r="M15" s="6" t="inlineStr">
        <is>
          <t>Delivered</t>
        </is>
      </c>
      <c r="N15" s="12">
        <f>B15+Setup!$B$5</f>
        <v/>
      </c>
      <c r="O15" s="5" t="n">
        <v>46310</v>
      </c>
      <c r="P15" s="10">
        <f>IF(O15&lt;&gt;"","Delivered",IF(M15="Ready","Ready, not collected",IF(N15&lt;Setup!$B$3,"Overdue","On track")))</f>
        <v/>
      </c>
      <c r="Q15" s="10">
        <f>IF(O15&lt;&gt;"",O15-B15,"")</f>
        <v/>
      </c>
      <c r="R15" s="12">
        <f>IF(O15&lt;&gt;"",O15+Setup!$B$6,"")</f>
        <v/>
      </c>
    </row>
    <row r="16">
      <c r="A16" s="10">
        <f>"J-"&amp;TEXT(ROW()-4,"000")</f>
        <v/>
      </c>
      <c r="B16" s="5" t="n">
        <v>46310</v>
      </c>
      <c r="C16" s="6" t="inlineStr">
        <is>
          <t>Ravina Kulkarni</t>
        </is>
      </c>
      <c r="D16" s="6" t="inlineStr">
        <is>
          <t>Android phone 6.5 in</t>
        </is>
      </c>
      <c r="E16" s="6" t="inlineStr">
        <is>
          <t>Speaker crackle</t>
        </is>
      </c>
      <c r="F16" s="6" t="inlineStr">
        <is>
          <t>P04</t>
        </is>
      </c>
      <c r="G16" s="11">
        <f>ROUND(_xlfn.XLOOKUP(F16,Parts!$A$5:$A$10,Parts!$C$5:$C$10,0)*(1+Setup!$B$4),0)</f>
        <v/>
      </c>
      <c r="H16" s="9" t="n">
        <v>250</v>
      </c>
      <c r="I16" s="11">
        <f>G16+H16</f>
        <v/>
      </c>
      <c r="J16" s="9" t="n">
        <v>200</v>
      </c>
      <c r="K16" s="11">
        <f>IF(O16&lt;&gt;"",0,I16-J16)</f>
        <v/>
      </c>
      <c r="L16" s="6" t="inlineStr">
        <is>
          <t>Salman</t>
        </is>
      </c>
      <c r="M16" s="6" t="inlineStr">
        <is>
          <t>Received</t>
        </is>
      </c>
      <c r="N16" s="12">
        <f>B16+Setup!$B$5</f>
        <v/>
      </c>
      <c r="O16" s="5" t="n"/>
      <c r="P16" s="10">
        <f>IF(O16&lt;&gt;"","Delivered",IF(M16="Ready","Ready, not collected",IF(N16&lt;Setup!$B$3,"Overdue","On track")))</f>
        <v/>
      </c>
      <c r="Q16" s="10">
        <f>IF(O16&lt;&gt;"",O16-B16,"")</f>
        <v/>
      </c>
      <c r="R16" s="12">
        <f>IF(O16&lt;&gt;"",O16+Setup!$B$6,"")</f>
        <v/>
      </c>
    </row>
    <row r="17">
      <c r="A17" s="10">
        <f>"J-"&amp;TEXT(ROW()-4,"000")</f>
        <v/>
      </c>
      <c r="B17" s="5" t="n">
        <v>46311</v>
      </c>
      <c r="C17" s="6" t="inlineStr">
        <is>
          <t>Shahrukh Shaikh</t>
        </is>
      </c>
      <c r="D17" s="6" t="inlineStr">
        <is>
          <t>Android phone 6.1 in</t>
        </is>
      </c>
      <c r="E17" s="6" t="inlineStr">
        <is>
          <t>Not charging</t>
        </is>
      </c>
      <c r="F17" s="6" t="inlineStr">
        <is>
          <t>P03</t>
        </is>
      </c>
      <c r="G17" s="11">
        <f>ROUND(_xlfn.XLOOKUP(F17,Parts!$A$5:$A$10,Parts!$C$5:$C$10,0)*(1+Setup!$B$4),0)</f>
        <v/>
      </c>
      <c r="H17" s="9" t="n">
        <v>300</v>
      </c>
      <c r="I17" s="11">
        <f>G17+H17</f>
        <v/>
      </c>
      <c r="J17" s="9" t="n">
        <v>0</v>
      </c>
      <c r="K17" s="11">
        <f>IF(O17&lt;&gt;"",0,I17-J17)</f>
        <v/>
      </c>
      <c r="L17" s="6" t="inlineStr">
        <is>
          <t>Amir</t>
        </is>
      </c>
      <c r="M17" s="6" t="inlineStr">
        <is>
          <t>Received</t>
        </is>
      </c>
      <c r="N17" s="12">
        <f>B17+Setup!$B$5</f>
        <v/>
      </c>
      <c r="O17" s="5" t="n"/>
      <c r="P17" s="10">
        <f>IF(O17&lt;&gt;"","Delivered",IF(M17="Ready","Ready, not collected",IF(N17&lt;Setup!$B$3,"Overdue","On track")))</f>
        <v/>
      </c>
      <c r="Q17" s="10">
        <f>IF(O17&lt;&gt;"",O17-B17,"")</f>
        <v/>
      </c>
      <c r="R17" s="12">
        <f>IF(O17&lt;&gt;"",O17+Setup!$B$6,"")</f>
        <v/>
      </c>
    </row>
  </sheetData>
  <conditionalFormatting sqref="A5:R17">
    <cfRule type="expression" priority="1" dxfId="0">
      <formula>$P5="Overdue"</formula>
    </cfRule>
    <cfRule type="expression" priority="2" dxfId="1">
      <formula>$P5="Ready, not collected"</formula>
    </cfRule>
  </conditionalFormatting>
  <dataValidations count="3">
    <dataValidation sqref="F5:F500" showDropDown="0" showInputMessage="0" showErrorMessage="1" allowBlank="1" errorTitle="Not in the list" error="Pick a value from the list" type="list">
      <formula1>=Parts!$A$5:$A$50</formula1>
    </dataValidation>
    <dataValidation sqref="L5:L500" showDropDown="0" showInputMessage="0" showErrorMessage="1" allowBlank="1" errorTitle="Not in the list" error="Pick a value from the list" type="list">
      <formula1>=Setup!$D$3:$D$4</formula1>
    </dataValidation>
    <dataValidation sqref="M5:M500" showDropDown="0" showInputMessage="0" showErrorMessage="1" allowBlank="1" errorTitle="Not in the list" error="Pick a value from the list" type="list">
      <formula1>=Setup!$E$3:$E$6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7" customWidth="1" min="2" max="2"/>
    <col width="10" customWidth="1" min="3" max="3"/>
    <col width="7" customWidth="1" min="4" max="4"/>
    <col width="18" customWidth="1" min="5" max="5"/>
    <col width="12" customWidth="1" min="6" max="6"/>
    <col width="17" customWidth="1" min="7" max="7"/>
  </cols>
  <sheetData>
    <row r="1">
      <c r="A1" s="1" t="inlineStr">
        <is>
          <t>Technician report</t>
        </is>
      </c>
    </row>
    <row r="2">
      <c r="A2" s="2" t="inlineStr">
        <is>
          <t>Days taken counts only delivered jobs.</t>
        </is>
      </c>
    </row>
    <row r="4">
      <c r="A4" s="8" t="inlineStr">
        <is>
          <t>Technician</t>
        </is>
      </c>
      <c r="B4" s="8" t="inlineStr">
        <is>
          <t>Jobs</t>
        </is>
      </c>
      <c r="C4" s="8" t="inlineStr">
        <is>
          <t>Delivered</t>
        </is>
      </c>
      <c r="D4" s="8" t="inlineStr">
        <is>
          <t>Open</t>
        </is>
      </c>
      <c r="E4" s="8" t="inlineStr">
        <is>
          <t>Average days taken</t>
        </is>
      </c>
      <c r="F4" s="8" t="inlineStr">
        <is>
          <t>Revenue (₹)</t>
        </is>
      </c>
      <c r="G4" s="8" t="inlineStr">
        <is>
          <t>Profit on parts (₹)</t>
        </is>
      </c>
    </row>
    <row r="5">
      <c r="A5" s="10">
        <f>Setup!D3</f>
        <v/>
      </c>
      <c r="B5" s="10">
        <f>COUNTIF(Jobs!$L$5:$L$500,A5)</f>
        <v/>
      </c>
      <c r="C5" s="10">
        <f>COUNTIFS(Jobs!$L$5:$L$500,A5,Jobs!$P$5:$P$500,"Delivered")</f>
        <v/>
      </c>
      <c r="D5" s="10">
        <f>B5-C5</f>
        <v/>
      </c>
      <c r="E5" s="13">
        <f>IFERROR(AVERAGEIFS(Jobs!$Q$5:$Q$500,Jobs!$L$5:$L$500,A5,Jobs!$P$5:$P$500,"Delivered"),0)</f>
        <v/>
      </c>
      <c r="F5" s="11">
        <f>SUMIFS(Jobs!$I$5:$I$500,Jobs!$L$5:$L$500,A5)</f>
        <v/>
      </c>
      <c r="G5" s="11">
        <f>SUMIFS(Jobs!$G$5:$G$500,Jobs!$L$5:$L$500,A5)-SUMPRODUCT((Jobs!$L$5:$L$500=A5)*IFERROR(_xlfn.XLOOKUP(Jobs!$F$5:$F$500,Parts!$A$5:$A$10,Parts!$C$5:$C$10,0),0))</f>
        <v/>
      </c>
    </row>
    <row r="6">
      <c r="A6" s="10">
        <f>Setup!D4</f>
        <v/>
      </c>
      <c r="B6" s="10">
        <f>COUNTIF(Jobs!$L$5:$L$500,A6)</f>
        <v/>
      </c>
      <c r="C6" s="10">
        <f>COUNTIFS(Jobs!$L$5:$L$500,A6,Jobs!$P$5:$P$500,"Delivered")</f>
        <v/>
      </c>
      <c r="D6" s="10">
        <f>B6-C6</f>
        <v/>
      </c>
      <c r="E6" s="13">
        <f>IFERROR(AVERAGEIFS(Jobs!$Q$5:$Q$500,Jobs!$L$5:$L$500,A6,Jobs!$P$5:$P$500,"Delivered"),0)</f>
        <v/>
      </c>
      <c r="F6" s="11">
        <f>SUMIFS(Jobs!$I$5:$I$500,Jobs!$L$5:$L$500,A6)</f>
        <v/>
      </c>
      <c r="G6" s="11">
        <f>SUMIFS(Jobs!$G$5:$G$500,Jobs!$L$5:$L$500,A6)-SUMPRODUCT((Jobs!$L$5:$L$500=A6)*IFERROR(_xlfn.XLOOKUP(Jobs!$F$5:$F$500,Parts!$A$5:$A$10,Parts!$C$5:$C$10,0),0))</f>
        <v/>
      </c>
    </row>
    <row r="9">
      <c r="A9" s="8" t="inlineStr">
        <is>
          <t>Flag</t>
        </is>
      </c>
      <c r="B9" s="8" t="inlineStr">
        <is>
          <t>Jobs</t>
        </is>
      </c>
    </row>
    <row r="10">
      <c r="A10" s="14" t="inlineStr">
        <is>
          <t>On track</t>
        </is>
      </c>
      <c r="B10" s="10">
        <f>COUNTIF(Jobs!$P$5:$P$500,A10)</f>
        <v/>
      </c>
    </row>
    <row r="11">
      <c r="A11" s="14" t="inlineStr">
        <is>
          <t>Overdue</t>
        </is>
      </c>
      <c r="B11" s="10">
        <f>COUNTIF(Jobs!$P$5:$P$500,A11)</f>
        <v/>
      </c>
    </row>
    <row r="12">
      <c r="A12" s="14" t="inlineStr">
        <is>
          <t>Ready, not collected</t>
        </is>
      </c>
      <c r="B12" s="10">
        <f>COUNTIF(Jobs!$P$5:$P$500,A12)</f>
        <v/>
      </c>
    </row>
    <row r="13">
      <c r="A13" s="14" t="inlineStr">
        <is>
          <t>Delivered</t>
        </is>
      </c>
      <c r="B13" s="10">
        <f>COUNTIF(Jobs!$P$5:$P$500,A13)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</cols>
  <sheetData>
    <row r="1">
      <c r="A1" s="1" t="inlineStr">
        <is>
          <t>Printable job receipt</t>
        </is>
      </c>
    </row>
    <row r="2">
      <c r="A2" s="2" t="inlineStr">
        <is>
          <t>Type a job number in B4. Give one copy to the customer at drop-off and one at delivery. Print A1:C18.</t>
        </is>
      </c>
    </row>
    <row r="3">
      <c r="A3" s="4" t="inlineStr">
        <is>
          <t>Salman Mobile Care, Pune</t>
        </is>
      </c>
    </row>
    <row r="4">
      <c r="A4" s="4" t="inlineStr">
        <is>
          <t>Job no</t>
        </is>
      </c>
      <c r="B4" s="6" t="inlineStr">
        <is>
          <t>J-010</t>
        </is>
      </c>
    </row>
    <row r="6">
      <c r="A6" s="4" t="inlineStr">
        <is>
          <t>Date in</t>
        </is>
      </c>
      <c r="B6" s="12">
        <f>_xlfn.XLOOKUP($B$4,Jobs!$A$5:$A$500,Jobs!$B$5:$B$500,"Not found")</f>
        <v/>
      </c>
    </row>
    <row r="7">
      <c r="A7" s="4" t="inlineStr">
        <is>
          <t>Customer</t>
        </is>
      </c>
      <c r="B7" s="10">
        <f>_xlfn.XLOOKUP($B$4,Jobs!$A$5:$A$500,Jobs!$C$5:$C$500,"Not found")</f>
        <v/>
      </c>
    </row>
    <row r="8">
      <c r="A8" s="4" t="inlineStr">
        <is>
          <t>Device</t>
        </is>
      </c>
      <c r="B8" s="10">
        <f>_xlfn.XLOOKUP($B$4,Jobs!$A$5:$A$500,Jobs!$D$5:$D$500,"Not found")</f>
        <v/>
      </c>
    </row>
    <row r="9">
      <c r="A9" s="4" t="inlineStr">
        <is>
          <t>Fault</t>
        </is>
      </c>
      <c r="B9" s="10">
        <f>_xlfn.XLOOKUP($B$4,Jobs!$A$5:$A$500,Jobs!$E$5:$E$500,"Not found")</f>
        <v/>
      </c>
    </row>
    <row r="10">
      <c r="A10" s="4" t="inlineStr">
        <is>
          <t>Total (₹)</t>
        </is>
      </c>
      <c r="B10" s="11">
        <f>_xlfn.XLOOKUP($B$4,Jobs!$A$5:$A$500,Jobs!$I$5:$I$500,"Not found")</f>
        <v/>
      </c>
    </row>
    <row r="11">
      <c r="A11" s="4" t="inlineStr">
        <is>
          <t>Advance (₹)</t>
        </is>
      </c>
      <c r="B11" s="11">
        <f>_xlfn.XLOOKUP($B$4,Jobs!$A$5:$A$500,Jobs!$J$5:$J$500,"Not found")</f>
        <v/>
      </c>
    </row>
    <row r="12">
      <c r="A12" s="4" t="inlineStr">
        <is>
          <t>Balance (₹)</t>
        </is>
      </c>
      <c r="B12" s="11">
        <f>_xlfn.XLOOKUP($B$4,Jobs!$A$5:$A$500,Jobs!$K$5:$K$500,"Not found")</f>
        <v/>
      </c>
    </row>
    <row r="13">
      <c r="A13" s="4" t="inlineStr">
        <is>
          <t>Promised</t>
        </is>
      </c>
      <c r="B13" s="12">
        <f>_xlfn.XLOOKUP($B$4,Jobs!$A$5:$A$500,Jobs!$N$5:$N$500,"Not found")</f>
        <v/>
      </c>
    </row>
    <row r="14">
      <c r="A14" s="4" t="inlineStr">
        <is>
          <t>Status</t>
        </is>
      </c>
      <c r="B14" s="10">
        <f>_xlfn.XLOOKUP($B$4,Jobs!$A$5:$A$500,Jobs!$M$5:$M$500,"Not found")</f>
        <v/>
      </c>
    </row>
    <row r="16">
      <c r="A16" t="inlineStr">
        <is>
          <t>Back up your data before handing over the phone. Repairs carry the warranty days shown in Setup.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Repair dashboard: 1 to 17 October 2026</t>
        </is>
      </c>
    </row>
    <row r="2">
      <c r="A2" s="2" t="inlineStr">
        <is>
          <t>Formulas over Jobs, Parts and Report.</t>
        </is>
      </c>
    </row>
    <row r="4" ht="32" customHeight="1">
      <c r="A4" s="8" t="inlineStr">
        <is>
          <t>Jobs received</t>
        </is>
      </c>
      <c r="B4" s="8" t="inlineStr">
        <is>
          <t>Open jobs</t>
        </is>
      </c>
      <c r="C4" s="8" t="inlineStr">
        <is>
          <t>Overdue</t>
        </is>
      </c>
      <c r="D4" s="8" t="inlineStr">
        <is>
          <t>Average days taken</t>
        </is>
      </c>
      <c r="E4" s="8" t="inlineStr">
        <is>
          <t>Revenue (all jobs)</t>
        </is>
      </c>
      <c r="F4" s="8" t="inlineStr">
        <is>
          <t>Parts to order</t>
        </is>
      </c>
    </row>
    <row r="5" ht="30" customHeight="1">
      <c r="A5" s="15">
        <f>COUNTA(Jobs!$C$5:$C$500)</f>
        <v/>
      </c>
      <c r="B5" s="15">
        <f>COUNTA(Jobs!$C$5:$C$500)-COUNTIF(Jobs!$P$5:$P$500,"Delivered")</f>
        <v/>
      </c>
      <c r="C5" s="15">
        <f>COUNTIF(Jobs!$P$5:$P$500,"Overdue")</f>
        <v/>
      </c>
      <c r="D5" s="16">
        <f>AVERAGE(Jobs!$Q$5:$Q$500)</f>
        <v/>
      </c>
      <c r="E5" s="17">
        <f>SUM(Jobs!$I$5:$I$500)</f>
        <v/>
      </c>
      <c r="F5" s="15">
        <f>COUNTIF(Parts!H5:H10,"Yes")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2026-10-17T06:42:54Z</dcterms:created>
  <dcterms:modified xmlns:dcterms="http://purl.org/dc/terms/" xmlns:xsi="http://www.w3.org/2001/XMLSchema-instance" xsi:type="dcterms:W3CDTF">2026-10-17T06:42:54Z</dcterms:modified>
</cp:coreProperties>
</file>