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Orders" sheetId="3" state="visible" r:id="rId3"/>
    <sheet xmlns:r="http://schemas.openxmlformats.org/officeDocument/2006/relationships" name="Production log" sheetId="4" state="visible" r:id="rId4"/>
    <sheet xmlns:r="http://schemas.openxmlformats.org/officeDocument/2006/relationships" name="Report" sheetId="5" state="visible" r:id="rId5"/>
    <sheet xmlns:r="http://schemas.openxmlformats.org/officeDocument/2006/relationships" name="Job order" sheetId="6" state="visible" r:id="rId6"/>
    <sheet xmlns:r="http://schemas.openxmlformats.org/officeDocument/2006/relationships" name="Dashboard" sheetId="7" state="visible" r:id="rId7"/>
  </sheets>
  <definedNames>
    <definedName name="_xlnm.Print_Area" localSheetId="5">'Job order'!$A$1:$B$16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 h:mm:ss"/>
    <numFmt numFmtId="165" formatCode="DD-MM-YYYY"/>
    <numFmt numFmtId="166" formatCode="0.0%"/>
    <numFmt numFmtId="167" formatCode="[$₹-4009]#,##,##0;[Red]-[$₹-4009]#,##,##0"/>
    <numFmt numFmtId="168" formatCode="0.0"/>
    <numFmt numFmtId="169" formatCode="#,##0.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0" fillId="2" borderId="1" pivotButton="0" quotePrefix="0" xfId="0"/>
    <xf numFmtId="166" fontId="0" fillId="2" borderId="1" pivotButton="0" quotePrefix="0" xfId="0"/>
    <xf numFmtId="167" fontId="0" fillId="2" borderId="1" pivotButton="0" quotePrefix="0" xfId="0"/>
    <xf numFmtId="0" fontId="3" fillId="3" borderId="1" applyAlignment="1" pivotButton="0" quotePrefix="0" xfId="0">
      <alignment vertical="top" wrapText="1"/>
    </xf>
    <xf numFmtId="168" fontId="0" fillId="4" borderId="1" pivotButton="0" quotePrefix="0" xfId="0"/>
    <xf numFmtId="0" fontId="0" fillId="4" borderId="1" pivotButton="0" quotePrefix="0" xfId="0"/>
    <xf numFmtId="3" fontId="0" fillId="2" borderId="1" pivotButton="0" quotePrefix="0" xfId="0"/>
    <xf numFmtId="165" fontId="0" fillId="4" borderId="1" pivotButton="0" quotePrefix="0" xfId="0"/>
    <xf numFmtId="169" fontId="0" fillId="4" borderId="1" pivotButton="0" quotePrefix="0" xfId="0"/>
    <xf numFmtId="167" fontId="0" fillId="4" borderId="1" pivotButton="0" quotePrefix="0" xfId="0"/>
    <xf numFmtId="3" fontId="0" fillId="4" borderId="1" pivotButton="0" quotePrefix="0" xfId="0"/>
    <xf numFmtId="9" fontId="0" fillId="4" borderId="1" pivotButton="0" quotePrefix="0" xfId="0"/>
    <xf numFmtId="166" fontId="0" fillId="4" borderId="1" pivotButton="0" quotePrefix="0" xfId="0"/>
    <xf numFmtId="0" fontId="3" fillId="5" borderId="1" pivotButton="0" quotePrefix="0" xfId="0"/>
    <xf numFmtId="166" fontId="3" fillId="5" borderId="1" pivotButton="0" quotePrefix="0" xfId="0"/>
    <xf numFmtId="0" fontId="4" fillId="4" borderId="1" applyAlignment="1" pivotButton="0" quotePrefix="0" xfId="0">
      <alignment horizontal="center"/>
    </xf>
    <xf numFmtId="166" fontId="4" fillId="4" borderId="1" applyAlignment="1" pivotButton="0" quotePrefix="0" xfId="0">
      <alignment horizontal="center"/>
    </xf>
    <xf numFmtId="3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1"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hours by machine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'Report'!$A$5:$A$6</f>
            </numRef>
          </cat>
          <val>
            <numRef>
              <f>'Report'!$B$5:$B$6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Reject % by product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'Report'!$A$10:$A$14</f>
            </numRef>
          </cat>
          <val>
            <numRef>
              <f>'Report'!$D$10:$D$14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Manufacturing production planning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(machines, products, shift, efficiency), Orders (plan), Production log, Report, Job order (printable), Dashboard.</t>
        </is>
      </c>
    </row>
    <row r="8">
      <c r="A8" t="inlineStr">
        <is>
          <t>Type a planned start for every order; the sheet works out the finish date and warns when it is after the due date.</t>
        </is>
      </c>
    </row>
    <row r="9">
      <c r="A9" t="inlineStr">
        <is>
          <t>Sunday is the weekly off. Change the weekend code in Orders J5 if your factory works differently.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14" customWidth="1" min="3" max="3"/>
    <col width="16" customWidth="1" min="4" max="4"/>
  </cols>
  <sheetData>
    <row r="1">
      <c r="A1" s="1" t="inlineStr">
        <is>
          <t>Manufacturing Production Planning System: Setup (Salman Engineering Works, Sambhaji Nagar)</t>
        </is>
      </c>
    </row>
    <row r="2">
      <c r="A2" s="2" t="inlineStr">
        <is>
          <t>Made-up machines, products, orders and production for October 2026. Sunday is the weekly off.</t>
        </is>
      </c>
    </row>
    <row r="3">
      <c r="A3" s="3" t="inlineStr">
        <is>
          <t>As-of date</t>
        </is>
      </c>
      <c r="B3" s="4" t="n">
        <v>46312</v>
      </c>
    </row>
    <row r="4">
      <c r="A4" s="3" t="inlineStr">
        <is>
          <t>Shift hours per day</t>
        </is>
      </c>
      <c r="B4" s="5" t="n">
        <v>8</v>
      </c>
    </row>
    <row r="5">
      <c r="A5" s="3" t="inlineStr">
        <is>
          <t>Machine efficiency</t>
        </is>
      </c>
      <c r="B5" s="6" t="n">
        <v>0.85</v>
      </c>
    </row>
    <row r="6">
      <c r="A6" s="3" t="inlineStr">
        <is>
          <t>Steel rate per kg (₹)</t>
        </is>
      </c>
      <c r="B6" s="7" t="n">
        <v>85</v>
      </c>
    </row>
    <row r="7">
      <c r="A7" s="3" t="inlineStr">
        <is>
          <t>Reject alert above</t>
        </is>
      </c>
      <c r="B7" s="6" t="n">
        <v>0.03</v>
      </c>
    </row>
    <row r="9">
      <c r="A9" s="8" t="inlineStr">
        <is>
          <t>Machine</t>
        </is>
      </c>
      <c r="B9" s="8" t="inlineStr">
        <is>
          <t>Number of machines</t>
        </is>
      </c>
      <c r="C9" s="8" t="inlineStr">
        <is>
          <t>Hours per day</t>
        </is>
      </c>
    </row>
    <row r="10">
      <c r="A10" s="5" t="inlineStr">
        <is>
          <t>CNC lathe</t>
        </is>
      </c>
      <c r="B10" s="5" t="n">
        <v>2</v>
      </c>
      <c r="C10" s="9">
        <f>B10*$B$4*$B$5</f>
        <v/>
      </c>
    </row>
    <row r="11">
      <c r="A11" s="5" t="inlineStr">
        <is>
          <t>Power press</t>
        </is>
      </c>
      <c r="B11" s="5" t="n">
        <v>1</v>
      </c>
      <c r="C11" s="9">
        <f>B11*$B$4*$B$5</f>
        <v/>
      </c>
    </row>
    <row r="13">
      <c r="A13" s="8" t="inlineStr">
        <is>
          <t>Product</t>
        </is>
      </c>
      <c r="B13" s="8" t="inlineStr">
        <is>
          <t>Machine</t>
        </is>
      </c>
      <c r="C13" s="8" t="inlineStr">
        <is>
          <t>Cycle time (min)</t>
        </is>
      </c>
      <c r="D13" s="8" t="inlineStr">
        <is>
          <t>Steel per unit (kg)</t>
        </is>
      </c>
    </row>
    <row r="14">
      <c r="A14" s="5" t="inlineStr">
        <is>
          <t>Flange F50</t>
        </is>
      </c>
      <c r="B14" s="5" t="inlineStr">
        <is>
          <t>CNC lathe</t>
        </is>
      </c>
      <c r="C14" s="5" t="n">
        <v>6</v>
      </c>
      <c r="D14" s="5" t="n">
        <v>1.2</v>
      </c>
    </row>
    <row r="15">
      <c r="A15" s="5" t="inlineStr">
        <is>
          <t>Bush B20</t>
        </is>
      </c>
      <c r="B15" s="5" t="inlineStr">
        <is>
          <t>CNC lathe</t>
        </is>
      </c>
      <c r="C15" s="5" t="n">
        <v>3</v>
      </c>
      <c r="D15" s="5" t="n">
        <v>0.4</v>
      </c>
    </row>
    <row r="16">
      <c r="A16" s="5" t="inlineStr">
        <is>
          <t>Shaft S30</t>
        </is>
      </c>
      <c r="B16" s="5" t="inlineStr">
        <is>
          <t>CNC lathe</t>
        </is>
      </c>
      <c r="C16" s="5" t="n">
        <v>9</v>
      </c>
      <c r="D16" s="5" t="n">
        <v>2.1</v>
      </c>
    </row>
    <row r="17">
      <c r="A17" s="5" t="inlineStr">
        <is>
          <t>Bracket K10</t>
        </is>
      </c>
      <c r="B17" s="5" t="inlineStr">
        <is>
          <t>Power press</t>
        </is>
      </c>
      <c r="C17" s="5" t="n">
        <v>1.5</v>
      </c>
      <c r="D17" s="5" t="n">
        <v>0.8</v>
      </c>
    </row>
    <row r="18">
      <c r="A18" s="5" t="inlineStr">
        <is>
          <t>Plate P15</t>
        </is>
      </c>
      <c r="B18" s="5" t="inlineStr">
        <is>
          <t>Power press</t>
        </is>
      </c>
      <c r="C18" s="5" t="n">
        <v>1</v>
      </c>
      <c r="D18" s="5" t="n">
        <v>0.6</v>
      </c>
    </row>
  </sheetData>
  <dataValidations count="1">
    <dataValidation sqref="B14:B18" showDropDown="0" showInputMessage="0" showErrorMessage="1" allowBlank="1" errorTitle="Not in the list" error="Pick a value from the list" type="list">
      <formula1>=$A$10:$A$11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12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7" customWidth="1" min="2" max="2"/>
    <col width="12" customWidth="1" min="3" max="3"/>
    <col width="7" customWidth="1" min="4" max="4"/>
    <col width="11" customWidth="1" min="5" max="5"/>
    <col width="11" customWidth="1" min="6" max="6"/>
    <col width="11" customWidth="1" min="7" max="7"/>
    <col width="8" customWidth="1" min="8" max="8"/>
    <col width="7" customWidth="1" min="9" max="9"/>
    <col width="11" customWidth="1" min="10" max="10"/>
    <col width="9" customWidth="1" min="11" max="11"/>
    <col width="9" customWidth="1" min="12" max="12"/>
    <col width="11" customWidth="1" min="13" max="13"/>
    <col width="8" customWidth="1" min="14" max="14"/>
    <col width="8" customWidth="1" min="15" max="15"/>
    <col width="8" customWidth="1" min="16" max="16"/>
    <col width="8" customWidth="1" min="17" max="17"/>
    <col width="11" customWidth="1" min="18" max="18"/>
  </cols>
  <sheetData>
    <row r="1">
      <c r="A1" s="1" t="inlineStr">
        <is>
          <t>Orders and plan</t>
        </is>
      </c>
    </row>
    <row r="2">
      <c r="A2" s="2" t="inlineStr">
        <is>
          <t>Hours = qty × cycle time ÷ 60. Days = hours ÷ machine hours per day, rounded up. Finish skips Sundays (WORKDAY.INTL with weekend code 11).</t>
        </is>
      </c>
    </row>
    <row r="4">
      <c r="A4" s="8" t="inlineStr">
        <is>
          <t>Order no</t>
        </is>
      </c>
      <c r="B4" s="8" t="inlineStr">
        <is>
          <t>Customer</t>
        </is>
      </c>
      <c r="C4" s="8" t="inlineStr">
        <is>
          <t>Product</t>
        </is>
      </c>
      <c r="D4" s="8" t="inlineStr">
        <is>
          <t>Qty</t>
        </is>
      </c>
      <c r="E4" s="8" t="inlineStr">
        <is>
          <t>Due date</t>
        </is>
      </c>
      <c r="F4" s="8" t="inlineStr">
        <is>
          <t>Planned start</t>
        </is>
      </c>
      <c r="G4" s="8" t="inlineStr">
        <is>
          <t>Machine</t>
        </is>
      </c>
      <c r="H4" s="8" t="inlineStr">
        <is>
          <t>Hours needed</t>
        </is>
      </c>
      <c r="I4" s="8" t="inlineStr">
        <is>
          <t>Days needed</t>
        </is>
      </c>
      <c r="J4" s="8" t="inlineStr">
        <is>
          <t>Planned finish</t>
        </is>
      </c>
      <c r="K4" s="8" t="inlineStr">
        <is>
          <t>Plan check</t>
        </is>
      </c>
      <c r="L4" s="8" t="inlineStr">
        <is>
          <t>Steel (kg)</t>
        </is>
      </c>
      <c r="M4" s="8" t="inlineStr">
        <is>
          <t>Steel cost (₹)</t>
        </is>
      </c>
      <c r="N4" s="8" t="inlineStr">
        <is>
          <t>Good made</t>
        </is>
      </c>
      <c r="O4" s="8" t="inlineStr">
        <is>
          <t>Rejects</t>
        </is>
      </c>
      <c r="P4" s="8" t="inlineStr">
        <is>
          <t>Balance qty</t>
        </is>
      </c>
      <c r="Q4" s="8" t="inlineStr">
        <is>
          <t>Progress</t>
        </is>
      </c>
      <c r="R4" s="8" t="inlineStr">
        <is>
          <t>Status</t>
        </is>
      </c>
    </row>
    <row r="5">
      <c r="A5" s="10">
        <f>"SO-"&amp;(100+ROW()-4)</f>
        <v/>
      </c>
      <c r="B5" s="5" t="inlineStr">
        <is>
          <t>Raja Pumps</t>
        </is>
      </c>
      <c r="C5" s="5" t="inlineStr">
        <is>
          <t>Flange F50</t>
        </is>
      </c>
      <c r="D5" s="11" t="n">
        <v>600</v>
      </c>
      <c r="E5" s="4" t="n">
        <v>46303</v>
      </c>
      <c r="F5" s="4" t="n">
        <v>46296</v>
      </c>
      <c r="G5" s="10">
        <f>_xlfn.XLOOKUP(C5,Setup!$A$14:$A$18,Setup!$B$14:$B$18,"Check product")</f>
        <v/>
      </c>
      <c r="H5" s="9">
        <f>ROUND(D5*_xlfn.XLOOKUP(C5,Setup!$A$14:$A$18,Setup!$C$14:$C$18,0)/60,1)</f>
        <v/>
      </c>
      <c r="I5" s="10">
        <f>ROUNDUP(H5/_xlfn.XLOOKUP(G5,Setup!$A$10:$A$11,Setup!$C$10:$C$11,1),0)</f>
        <v/>
      </c>
      <c r="J5" s="12">
        <f>WORKDAY.INTL(F5,I5-1,11)</f>
        <v/>
      </c>
      <c r="K5" s="10">
        <f>IF(J5&lt;=E5,"On time","Late")</f>
        <v/>
      </c>
      <c r="L5" s="13">
        <f>D5*_xlfn.XLOOKUP(C5,Setup!$A$14:$A$18,Setup!$D$14:$D$18,0)</f>
        <v/>
      </c>
      <c r="M5" s="14">
        <f>L5*Setup!$B$6</f>
        <v/>
      </c>
      <c r="N5" s="15">
        <f>SUMIFS('Production log'!$C$5:$C$3000,'Production log'!$B$5:$B$3000,A5)</f>
        <v/>
      </c>
      <c r="O5" s="15">
        <f>SUMIFS('Production log'!$D$5:$D$3000,'Production log'!$B$5:$B$3000,A5)</f>
        <v/>
      </c>
      <c r="P5" s="15">
        <f>MAX(0,D5-N5)</f>
        <v/>
      </c>
      <c r="Q5" s="16">
        <f>MIN(1,N5/D5)</f>
        <v/>
      </c>
      <c r="R5" s="10">
        <f>IF(N5&gt;=D5,"Completed",IF(N5&gt;0,"In progress","Not started"))</f>
        <v/>
      </c>
    </row>
    <row r="6">
      <c r="A6" s="10">
        <f>"SO-"&amp;(100+ROW()-4)</f>
        <v/>
      </c>
      <c r="B6" s="5" t="inlineStr">
        <is>
          <t>Zoya Motors</t>
        </is>
      </c>
      <c r="C6" s="5" t="inlineStr">
        <is>
          <t>Bush B20</t>
        </is>
      </c>
      <c r="D6" s="11" t="n">
        <v>1500</v>
      </c>
      <c r="E6" s="4" t="n">
        <v>46307</v>
      </c>
      <c r="F6" s="4" t="n">
        <v>46302</v>
      </c>
      <c r="G6" s="10">
        <f>_xlfn.XLOOKUP(C6,Setup!$A$14:$A$18,Setup!$B$14:$B$18,"Check product")</f>
        <v/>
      </c>
      <c r="H6" s="9">
        <f>ROUND(D6*_xlfn.XLOOKUP(C6,Setup!$A$14:$A$18,Setup!$C$14:$C$18,0)/60,1)</f>
        <v/>
      </c>
      <c r="I6" s="10">
        <f>ROUNDUP(H6/_xlfn.XLOOKUP(G6,Setup!$A$10:$A$11,Setup!$C$10:$C$11,1),0)</f>
        <v/>
      </c>
      <c r="J6" s="12">
        <f>WORKDAY.INTL(F6,I6-1,11)</f>
        <v/>
      </c>
      <c r="K6" s="10">
        <f>IF(J6&lt;=E6,"On time","Late")</f>
        <v/>
      </c>
      <c r="L6" s="13">
        <f>D6*_xlfn.XLOOKUP(C6,Setup!$A$14:$A$18,Setup!$D$14:$D$18,0)</f>
        <v/>
      </c>
      <c r="M6" s="14">
        <f>L6*Setup!$B$6</f>
        <v/>
      </c>
      <c r="N6" s="15">
        <f>SUMIFS('Production log'!$C$5:$C$3000,'Production log'!$B$5:$B$3000,A6)</f>
        <v/>
      </c>
      <c r="O6" s="15">
        <f>SUMIFS('Production log'!$D$5:$D$3000,'Production log'!$B$5:$B$3000,A6)</f>
        <v/>
      </c>
      <c r="P6" s="15">
        <f>MAX(0,D6-N6)</f>
        <v/>
      </c>
      <c r="Q6" s="16">
        <f>MIN(1,N6/D6)</f>
        <v/>
      </c>
      <c r="R6" s="10">
        <f>IF(N6&gt;=D6,"Completed",IF(N6&gt;0,"In progress","Not started"))</f>
        <v/>
      </c>
    </row>
    <row r="7">
      <c r="A7" s="10">
        <f>"SO-"&amp;(100+ROW()-4)</f>
        <v/>
      </c>
      <c r="B7" s="5" t="inlineStr">
        <is>
          <t>Amir Agro</t>
        </is>
      </c>
      <c r="C7" s="5" t="inlineStr">
        <is>
          <t>Bracket K10</t>
        </is>
      </c>
      <c r="D7" s="11" t="n">
        <v>3000</v>
      </c>
      <c r="E7" s="4" t="n">
        <v>46305</v>
      </c>
      <c r="F7" s="4" t="n">
        <v>46296</v>
      </c>
      <c r="G7" s="10">
        <f>_xlfn.XLOOKUP(C7,Setup!$A$14:$A$18,Setup!$B$14:$B$18,"Check product")</f>
        <v/>
      </c>
      <c r="H7" s="9">
        <f>ROUND(D7*_xlfn.XLOOKUP(C7,Setup!$A$14:$A$18,Setup!$C$14:$C$18,0)/60,1)</f>
        <v/>
      </c>
      <c r="I7" s="10">
        <f>ROUNDUP(H7/_xlfn.XLOOKUP(G7,Setup!$A$10:$A$11,Setup!$C$10:$C$11,1),0)</f>
        <v/>
      </c>
      <c r="J7" s="12">
        <f>WORKDAY.INTL(F7,I7-1,11)</f>
        <v/>
      </c>
      <c r="K7" s="10">
        <f>IF(J7&lt;=E7,"On time","Late")</f>
        <v/>
      </c>
      <c r="L7" s="13">
        <f>D7*_xlfn.XLOOKUP(C7,Setup!$A$14:$A$18,Setup!$D$14:$D$18,0)</f>
        <v/>
      </c>
      <c r="M7" s="14">
        <f>L7*Setup!$B$6</f>
        <v/>
      </c>
      <c r="N7" s="15">
        <f>SUMIFS('Production log'!$C$5:$C$3000,'Production log'!$B$5:$B$3000,A7)</f>
        <v/>
      </c>
      <c r="O7" s="15">
        <f>SUMIFS('Production log'!$D$5:$D$3000,'Production log'!$B$5:$B$3000,A7)</f>
        <v/>
      </c>
      <c r="P7" s="15">
        <f>MAX(0,D7-N7)</f>
        <v/>
      </c>
      <c r="Q7" s="16">
        <f>MIN(1,N7/D7)</f>
        <v/>
      </c>
      <c r="R7" s="10">
        <f>IF(N7&gt;=D7,"Completed",IF(N7&gt;0,"In progress","Not started"))</f>
        <v/>
      </c>
    </row>
    <row r="8">
      <c r="A8" s="10">
        <f>"SO-"&amp;(100+ROW()-4)</f>
        <v/>
      </c>
      <c r="B8" s="5" t="inlineStr">
        <is>
          <t>Salman Fabricators</t>
        </is>
      </c>
      <c r="C8" s="5" t="inlineStr">
        <is>
          <t>Shaft S30</t>
        </is>
      </c>
      <c r="D8" s="11" t="n">
        <v>400</v>
      </c>
      <c r="E8" s="4" t="n">
        <v>46317</v>
      </c>
      <c r="F8" s="4" t="n">
        <v>46309</v>
      </c>
      <c r="G8" s="10">
        <f>_xlfn.XLOOKUP(C8,Setup!$A$14:$A$18,Setup!$B$14:$B$18,"Check product")</f>
        <v/>
      </c>
      <c r="H8" s="9">
        <f>ROUND(D8*_xlfn.XLOOKUP(C8,Setup!$A$14:$A$18,Setup!$C$14:$C$18,0)/60,1)</f>
        <v/>
      </c>
      <c r="I8" s="10">
        <f>ROUNDUP(H8/_xlfn.XLOOKUP(G8,Setup!$A$10:$A$11,Setup!$C$10:$C$11,1),0)</f>
        <v/>
      </c>
      <c r="J8" s="12">
        <f>WORKDAY.INTL(F8,I8-1,11)</f>
        <v/>
      </c>
      <c r="K8" s="10">
        <f>IF(J8&lt;=E8,"On time","Late")</f>
        <v/>
      </c>
      <c r="L8" s="13">
        <f>D8*_xlfn.XLOOKUP(C8,Setup!$A$14:$A$18,Setup!$D$14:$D$18,0)</f>
        <v/>
      </c>
      <c r="M8" s="14">
        <f>L8*Setup!$B$6</f>
        <v/>
      </c>
      <c r="N8" s="15">
        <f>SUMIFS('Production log'!$C$5:$C$3000,'Production log'!$B$5:$B$3000,A8)</f>
        <v/>
      </c>
      <c r="O8" s="15">
        <f>SUMIFS('Production log'!$D$5:$D$3000,'Production log'!$B$5:$B$3000,A8)</f>
        <v/>
      </c>
      <c r="P8" s="15">
        <f>MAX(0,D8-N8)</f>
        <v/>
      </c>
      <c r="Q8" s="16">
        <f>MIN(1,N8/D8)</f>
        <v/>
      </c>
      <c r="R8" s="10">
        <f>IF(N8&gt;=D8,"Completed",IF(N8&gt;0,"In progress","Not started"))</f>
        <v/>
      </c>
    </row>
    <row r="9">
      <c r="A9" s="10">
        <f>"SO-"&amp;(100+ROW()-4)</f>
        <v/>
      </c>
      <c r="B9" s="5" t="inlineStr">
        <is>
          <t>Ravina Engineering</t>
        </is>
      </c>
      <c r="C9" s="5" t="inlineStr">
        <is>
          <t>Plate P15</t>
        </is>
      </c>
      <c r="D9" s="11" t="n">
        <v>2000</v>
      </c>
      <c r="E9" s="4" t="n">
        <v>46319</v>
      </c>
      <c r="F9" s="4" t="n">
        <v>46310</v>
      </c>
      <c r="G9" s="10">
        <f>_xlfn.XLOOKUP(C9,Setup!$A$14:$A$18,Setup!$B$14:$B$18,"Check product")</f>
        <v/>
      </c>
      <c r="H9" s="9">
        <f>ROUND(D9*_xlfn.XLOOKUP(C9,Setup!$A$14:$A$18,Setup!$C$14:$C$18,0)/60,1)</f>
        <v/>
      </c>
      <c r="I9" s="10">
        <f>ROUNDUP(H9/_xlfn.XLOOKUP(G9,Setup!$A$10:$A$11,Setup!$C$10:$C$11,1),0)</f>
        <v/>
      </c>
      <c r="J9" s="12">
        <f>WORKDAY.INTL(F9,I9-1,11)</f>
        <v/>
      </c>
      <c r="K9" s="10">
        <f>IF(J9&lt;=E9,"On time","Late")</f>
        <v/>
      </c>
      <c r="L9" s="13">
        <f>D9*_xlfn.XLOOKUP(C9,Setup!$A$14:$A$18,Setup!$D$14:$D$18,0)</f>
        <v/>
      </c>
      <c r="M9" s="14">
        <f>L9*Setup!$B$6</f>
        <v/>
      </c>
      <c r="N9" s="15">
        <f>SUMIFS('Production log'!$C$5:$C$3000,'Production log'!$B$5:$B$3000,A9)</f>
        <v/>
      </c>
      <c r="O9" s="15">
        <f>SUMIFS('Production log'!$D$5:$D$3000,'Production log'!$B$5:$B$3000,A9)</f>
        <v/>
      </c>
      <c r="P9" s="15">
        <f>MAX(0,D9-N9)</f>
        <v/>
      </c>
      <c r="Q9" s="16">
        <f>MIN(1,N9/D9)</f>
        <v/>
      </c>
      <c r="R9" s="10">
        <f>IF(N9&gt;=D9,"Completed",IF(N9&gt;0,"In progress","Not started"))</f>
        <v/>
      </c>
    </row>
    <row r="10">
      <c r="A10" s="10">
        <f>"SO-"&amp;(100+ROW()-4)</f>
        <v/>
      </c>
      <c r="B10" s="5" t="inlineStr">
        <is>
          <t>Raja Pumps</t>
        </is>
      </c>
      <c r="C10" s="5" t="inlineStr">
        <is>
          <t>Flange F50</t>
        </is>
      </c>
      <c r="D10" s="11" t="n">
        <v>800</v>
      </c>
      <c r="E10" s="4" t="n">
        <v>46322</v>
      </c>
      <c r="F10" s="4" t="n">
        <v>46315</v>
      </c>
      <c r="G10" s="10">
        <f>_xlfn.XLOOKUP(C10,Setup!$A$14:$A$18,Setup!$B$14:$B$18,"Check product")</f>
        <v/>
      </c>
      <c r="H10" s="9">
        <f>ROUND(D10*_xlfn.XLOOKUP(C10,Setup!$A$14:$A$18,Setup!$C$14:$C$18,0)/60,1)</f>
        <v/>
      </c>
      <c r="I10" s="10">
        <f>ROUNDUP(H10/_xlfn.XLOOKUP(G10,Setup!$A$10:$A$11,Setup!$C$10:$C$11,1),0)</f>
        <v/>
      </c>
      <c r="J10" s="12">
        <f>WORKDAY.INTL(F10,I10-1,11)</f>
        <v/>
      </c>
      <c r="K10" s="10">
        <f>IF(J10&lt;=E10,"On time","Late")</f>
        <v/>
      </c>
      <c r="L10" s="13">
        <f>D10*_xlfn.XLOOKUP(C10,Setup!$A$14:$A$18,Setup!$D$14:$D$18,0)</f>
        <v/>
      </c>
      <c r="M10" s="14">
        <f>L10*Setup!$B$6</f>
        <v/>
      </c>
      <c r="N10" s="15">
        <f>SUMIFS('Production log'!$C$5:$C$3000,'Production log'!$B$5:$B$3000,A10)</f>
        <v/>
      </c>
      <c r="O10" s="15">
        <f>SUMIFS('Production log'!$D$5:$D$3000,'Production log'!$B$5:$B$3000,A10)</f>
        <v/>
      </c>
      <c r="P10" s="15">
        <f>MAX(0,D10-N10)</f>
        <v/>
      </c>
      <c r="Q10" s="16">
        <f>MIN(1,N10/D10)</f>
        <v/>
      </c>
      <c r="R10" s="10">
        <f>IF(N10&gt;=D10,"Completed",IF(N10&gt;0,"In progress","Not started"))</f>
        <v/>
      </c>
    </row>
    <row r="11">
      <c r="A11" s="10">
        <f>"SO-"&amp;(100+ROW()-4)</f>
        <v/>
      </c>
      <c r="B11" s="5" t="inlineStr">
        <is>
          <t>Rani Industries</t>
        </is>
      </c>
      <c r="C11" s="5" t="inlineStr">
        <is>
          <t>Bush B20</t>
        </is>
      </c>
      <c r="D11" s="11" t="n">
        <v>2000</v>
      </c>
      <c r="E11" s="4" t="n">
        <v>46325</v>
      </c>
      <c r="F11" s="4" t="n">
        <v>46322</v>
      </c>
      <c r="G11" s="10">
        <f>_xlfn.XLOOKUP(C11,Setup!$A$14:$A$18,Setup!$B$14:$B$18,"Check product")</f>
        <v/>
      </c>
      <c r="H11" s="9">
        <f>ROUND(D11*_xlfn.XLOOKUP(C11,Setup!$A$14:$A$18,Setup!$C$14:$C$18,0)/60,1)</f>
        <v/>
      </c>
      <c r="I11" s="10">
        <f>ROUNDUP(H11/_xlfn.XLOOKUP(G11,Setup!$A$10:$A$11,Setup!$C$10:$C$11,1),0)</f>
        <v/>
      </c>
      <c r="J11" s="12">
        <f>WORKDAY.INTL(F11,I11-1,11)</f>
        <v/>
      </c>
      <c r="K11" s="10">
        <f>IF(J11&lt;=E11,"On time","Late")</f>
        <v/>
      </c>
      <c r="L11" s="13">
        <f>D11*_xlfn.XLOOKUP(C11,Setup!$A$14:$A$18,Setup!$D$14:$D$18,0)</f>
        <v/>
      </c>
      <c r="M11" s="14">
        <f>L11*Setup!$B$6</f>
        <v/>
      </c>
      <c r="N11" s="15">
        <f>SUMIFS('Production log'!$C$5:$C$3000,'Production log'!$B$5:$B$3000,A11)</f>
        <v/>
      </c>
      <c r="O11" s="15">
        <f>SUMIFS('Production log'!$D$5:$D$3000,'Production log'!$B$5:$B$3000,A11)</f>
        <v/>
      </c>
      <c r="P11" s="15">
        <f>MAX(0,D11-N11)</f>
        <v/>
      </c>
      <c r="Q11" s="16">
        <f>MIN(1,N11/D11)</f>
        <v/>
      </c>
      <c r="R11" s="10">
        <f>IF(N11&gt;=D11,"Completed",IF(N11&gt;0,"In progress","Not started"))</f>
        <v/>
      </c>
    </row>
    <row r="12">
      <c r="A12" s="10">
        <f>"SO-"&amp;(100+ROW()-4)</f>
        <v/>
      </c>
      <c r="B12" s="5" t="inlineStr">
        <is>
          <t>Shahrukh Auto</t>
        </is>
      </c>
      <c r="C12" s="5" t="inlineStr">
        <is>
          <t>Bracket K10</t>
        </is>
      </c>
      <c r="D12" s="11" t="n">
        <v>1500</v>
      </c>
      <c r="E12" s="4" t="n">
        <v>46326</v>
      </c>
      <c r="F12" s="4" t="n">
        <v>46316</v>
      </c>
      <c r="G12" s="10">
        <f>_xlfn.XLOOKUP(C12,Setup!$A$14:$A$18,Setup!$B$14:$B$18,"Check product")</f>
        <v/>
      </c>
      <c r="H12" s="9">
        <f>ROUND(D12*_xlfn.XLOOKUP(C12,Setup!$A$14:$A$18,Setup!$C$14:$C$18,0)/60,1)</f>
        <v/>
      </c>
      <c r="I12" s="10">
        <f>ROUNDUP(H12/_xlfn.XLOOKUP(G12,Setup!$A$10:$A$11,Setup!$C$10:$C$11,1),0)</f>
        <v/>
      </c>
      <c r="J12" s="12">
        <f>WORKDAY.INTL(F12,I12-1,11)</f>
        <v/>
      </c>
      <c r="K12" s="10">
        <f>IF(J12&lt;=E12,"On time","Late")</f>
        <v/>
      </c>
      <c r="L12" s="13">
        <f>D12*_xlfn.XLOOKUP(C12,Setup!$A$14:$A$18,Setup!$D$14:$D$18,0)</f>
        <v/>
      </c>
      <c r="M12" s="14">
        <f>L12*Setup!$B$6</f>
        <v/>
      </c>
      <c r="N12" s="15">
        <f>SUMIFS('Production log'!$C$5:$C$3000,'Production log'!$B$5:$B$3000,A12)</f>
        <v/>
      </c>
      <c r="O12" s="15">
        <f>SUMIFS('Production log'!$D$5:$D$3000,'Production log'!$B$5:$B$3000,A12)</f>
        <v/>
      </c>
      <c r="P12" s="15">
        <f>MAX(0,D12-N12)</f>
        <v/>
      </c>
      <c r="Q12" s="16">
        <f>MIN(1,N12/D12)</f>
        <v/>
      </c>
      <c r="R12" s="10">
        <f>IF(N12&gt;=D12,"Completed",IF(N12&gt;0,"In progress","Not started"))</f>
        <v/>
      </c>
    </row>
  </sheetData>
  <conditionalFormatting sqref="K5:K12">
    <cfRule type="cellIs" priority="1" operator="equal" dxfId="0">
      <formula>"Late"</formula>
    </cfRule>
  </conditionalFormatting>
  <conditionalFormatting sqref="Q5:Q12">
    <cfRule type="dataBar" priority="2">
      <dataBar>
        <cfvo type="num" val="0"/>
        <cfvo type="num" val="1"/>
        <color rgb="0063BE7B"/>
      </dataBar>
    </cfRule>
  </conditionalFormatting>
  <dataValidations count="1">
    <dataValidation sqref="C5:C500" showDropDown="0" showInputMessage="0" showErrorMessage="1" allowBlank="1" errorTitle="Not in the list" error="Pick a value from the list" type="list">
      <formula1>=Setup!$A$14:$A$18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11" customWidth="1" min="1" max="1"/>
    <col width="9" customWidth="1" min="2" max="2"/>
    <col width="7" customWidth="1" min="3" max="3"/>
    <col width="8" customWidth="1" min="4" max="4"/>
    <col width="12" customWidth="1" min="5" max="5"/>
  </cols>
  <sheetData>
    <row r="1">
      <c r="A1" s="1" t="inlineStr">
        <is>
          <t>Production log</t>
        </is>
      </c>
    </row>
    <row r="2">
      <c r="A2" s="2" t="inlineStr">
        <is>
          <t>One row per order per day: good pieces and rejects.</t>
        </is>
      </c>
    </row>
    <row r="4">
      <c r="A4" s="8" t="inlineStr">
        <is>
          <t>Date</t>
        </is>
      </c>
      <c r="B4" s="8" t="inlineStr">
        <is>
          <t>Order no</t>
        </is>
      </c>
      <c r="C4" s="8" t="inlineStr">
        <is>
          <t>Good</t>
        </is>
      </c>
      <c r="D4" s="8" t="inlineStr">
        <is>
          <t>Rejects</t>
        </is>
      </c>
      <c r="E4" s="8" t="inlineStr">
        <is>
          <t>Product</t>
        </is>
      </c>
    </row>
    <row r="5">
      <c r="A5" s="4" t="n">
        <v>46296</v>
      </c>
      <c r="B5" s="5" t="inlineStr">
        <is>
          <t>SO-101</t>
        </is>
      </c>
      <c r="C5" s="5" t="n">
        <v>120</v>
      </c>
      <c r="D5" s="5" t="n">
        <v>2</v>
      </c>
      <c r="E5" s="10">
        <f>_xlfn.XLOOKUP(B5,Orders!$A$5:$A$500,Orders!$C$5:$C$500,"Check order")</f>
        <v/>
      </c>
    </row>
    <row r="6">
      <c r="A6" s="4" t="n">
        <v>46296</v>
      </c>
      <c r="B6" s="5" t="inlineStr">
        <is>
          <t>SO-103</t>
        </is>
      </c>
      <c r="C6" s="5" t="n">
        <v>245</v>
      </c>
      <c r="D6" s="5" t="n">
        <v>10</v>
      </c>
      <c r="E6" s="10">
        <f>_xlfn.XLOOKUP(B6,Orders!$A$5:$A$500,Orders!$C$5:$C$500,"Check order")</f>
        <v/>
      </c>
    </row>
    <row r="7">
      <c r="A7" s="4" t="n">
        <v>46297</v>
      </c>
      <c r="B7" s="5" t="inlineStr">
        <is>
          <t>SO-101</t>
        </is>
      </c>
      <c r="C7" s="5" t="n">
        <v>120</v>
      </c>
      <c r="D7" s="5" t="n">
        <v>2</v>
      </c>
      <c r="E7" s="10">
        <f>_xlfn.XLOOKUP(B7,Orders!$A$5:$A$500,Orders!$C$5:$C$500,"Check order")</f>
        <v/>
      </c>
    </row>
    <row r="8">
      <c r="A8" s="4" t="n">
        <v>46297</v>
      </c>
      <c r="B8" s="5" t="inlineStr">
        <is>
          <t>SO-103</t>
        </is>
      </c>
      <c r="C8" s="5" t="n">
        <v>245</v>
      </c>
      <c r="D8" s="5" t="n">
        <v>10</v>
      </c>
      <c r="E8" s="10">
        <f>_xlfn.XLOOKUP(B8,Orders!$A$5:$A$500,Orders!$C$5:$C$500,"Check order")</f>
        <v/>
      </c>
    </row>
    <row r="9">
      <c r="A9" s="4" t="n">
        <v>46298</v>
      </c>
      <c r="B9" s="5" t="inlineStr">
        <is>
          <t>SO-101</t>
        </is>
      </c>
      <c r="C9" s="5" t="n">
        <v>120</v>
      </c>
      <c r="D9" s="5" t="n">
        <v>2</v>
      </c>
      <c r="E9" s="10">
        <f>_xlfn.XLOOKUP(B9,Orders!$A$5:$A$500,Orders!$C$5:$C$500,"Check order")</f>
        <v/>
      </c>
    </row>
    <row r="10">
      <c r="A10" s="4" t="n">
        <v>46298</v>
      </c>
      <c r="B10" s="5" t="inlineStr">
        <is>
          <t>SO-103</t>
        </is>
      </c>
      <c r="C10" s="5" t="n">
        <v>245</v>
      </c>
      <c r="D10" s="5" t="n">
        <v>10</v>
      </c>
      <c r="E10" s="10">
        <f>_xlfn.XLOOKUP(B10,Orders!$A$5:$A$500,Orders!$C$5:$C$500,"Check order")</f>
        <v/>
      </c>
    </row>
    <row r="11">
      <c r="A11" s="4" t="n">
        <v>46300</v>
      </c>
      <c r="B11" s="5" t="inlineStr">
        <is>
          <t>SO-101</t>
        </is>
      </c>
      <c r="C11" s="5" t="n">
        <v>120</v>
      </c>
      <c r="D11" s="5" t="n">
        <v>2</v>
      </c>
      <c r="E11" s="10">
        <f>_xlfn.XLOOKUP(B11,Orders!$A$5:$A$500,Orders!$C$5:$C$500,"Check order")</f>
        <v/>
      </c>
    </row>
    <row r="12">
      <c r="A12" s="4" t="n">
        <v>46300</v>
      </c>
      <c r="B12" s="5" t="inlineStr">
        <is>
          <t>SO-103</t>
        </is>
      </c>
      <c r="C12" s="5" t="n">
        <v>245</v>
      </c>
      <c r="D12" s="5" t="n">
        <v>10</v>
      </c>
      <c r="E12" s="10">
        <f>_xlfn.XLOOKUP(B12,Orders!$A$5:$A$500,Orders!$C$5:$C$500,"Check order")</f>
        <v/>
      </c>
    </row>
    <row r="13">
      <c r="A13" s="4" t="n">
        <v>46301</v>
      </c>
      <c r="B13" s="5" t="inlineStr">
        <is>
          <t>SO-101</t>
        </is>
      </c>
      <c r="C13" s="5" t="n">
        <v>120</v>
      </c>
      <c r="D13" s="5" t="n">
        <v>6</v>
      </c>
      <c r="E13" s="10">
        <f>_xlfn.XLOOKUP(B13,Orders!$A$5:$A$500,Orders!$C$5:$C$500,"Check order")</f>
        <v/>
      </c>
    </row>
    <row r="14">
      <c r="A14" s="4" t="n">
        <v>46301</v>
      </c>
      <c r="B14" s="5" t="inlineStr">
        <is>
          <t>SO-103</t>
        </is>
      </c>
      <c r="C14" s="5" t="n">
        <v>245</v>
      </c>
      <c r="D14" s="5" t="n">
        <v>10</v>
      </c>
      <c r="E14" s="10">
        <f>_xlfn.XLOOKUP(B14,Orders!$A$5:$A$500,Orders!$C$5:$C$500,"Check order")</f>
        <v/>
      </c>
    </row>
    <row r="15">
      <c r="A15" s="4" t="n">
        <v>46302</v>
      </c>
      <c r="B15" s="5" t="inlineStr">
        <is>
          <t>SO-102</t>
        </is>
      </c>
      <c r="C15" s="5" t="n">
        <v>250</v>
      </c>
      <c r="D15" s="5" t="n">
        <v>5</v>
      </c>
      <c r="E15" s="10">
        <f>_xlfn.XLOOKUP(B15,Orders!$A$5:$A$500,Orders!$C$5:$C$500,"Check order")</f>
        <v/>
      </c>
    </row>
    <row r="16">
      <c r="A16" s="4" t="n">
        <v>46302</v>
      </c>
      <c r="B16" s="5" t="inlineStr">
        <is>
          <t>SO-103</t>
        </is>
      </c>
      <c r="C16" s="5" t="n">
        <v>245</v>
      </c>
      <c r="D16" s="5" t="n">
        <v>10</v>
      </c>
      <c r="E16" s="10">
        <f>_xlfn.XLOOKUP(B16,Orders!$A$5:$A$500,Orders!$C$5:$C$500,"Check order")</f>
        <v/>
      </c>
    </row>
    <row r="17">
      <c r="A17" s="4" t="n">
        <v>46303</v>
      </c>
      <c r="B17" s="5" t="inlineStr">
        <is>
          <t>SO-102</t>
        </is>
      </c>
      <c r="C17" s="5" t="n">
        <v>250</v>
      </c>
      <c r="D17" s="5" t="n">
        <v>5</v>
      </c>
      <c r="E17" s="10">
        <f>_xlfn.XLOOKUP(B17,Orders!$A$5:$A$500,Orders!$C$5:$C$500,"Check order")</f>
        <v/>
      </c>
    </row>
    <row r="18">
      <c r="A18" s="4" t="n">
        <v>46303</v>
      </c>
      <c r="B18" s="5" t="inlineStr">
        <is>
          <t>SO-103</t>
        </is>
      </c>
      <c r="C18" s="5" t="n">
        <v>245</v>
      </c>
      <c r="D18" s="5" t="n">
        <v>10</v>
      </c>
      <c r="E18" s="10">
        <f>_xlfn.XLOOKUP(B18,Orders!$A$5:$A$500,Orders!$C$5:$C$500,"Check order")</f>
        <v/>
      </c>
    </row>
    <row r="19">
      <c r="A19" s="4" t="n">
        <v>46304</v>
      </c>
      <c r="B19" s="5" t="inlineStr">
        <is>
          <t>SO-102</t>
        </is>
      </c>
      <c r="C19" s="5" t="n">
        <v>250</v>
      </c>
      <c r="D19" s="5" t="n">
        <v>5</v>
      </c>
      <c r="E19" s="10">
        <f>_xlfn.XLOOKUP(B19,Orders!$A$5:$A$500,Orders!$C$5:$C$500,"Check order")</f>
        <v/>
      </c>
    </row>
    <row r="20">
      <c r="A20" s="4" t="n">
        <v>46304</v>
      </c>
      <c r="B20" s="5" t="inlineStr">
        <is>
          <t>SO-103</t>
        </is>
      </c>
      <c r="C20" s="5" t="n">
        <v>245</v>
      </c>
      <c r="D20" s="5" t="n">
        <v>10</v>
      </c>
      <c r="E20" s="10">
        <f>_xlfn.XLOOKUP(B20,Orders!$A$5:$A$500,Orders!$C$5:$C$500,"Check order")</f>
        <v/>
      </c>
    </row>
    <row r="21">
      <c r="A21" s="4" t="n">
        <v>46305</v>
      </c>
      <c r="B21" s="5" t="inlineStr">
        <is>
          <t>SO-102</t>
        </is>
      </c>
      <c r="C21" s="5" t="n">
        <v>250</v>
      </c>
      <c r="D21" s="5" t="n">
        <v>5</v>
      </c>
      <c r="E21" s="10">
        <f>_xlfn.XLOOKUP(B21,Orders!$A$5:$A$500,Orders!$C$5:$C$500,"Check order")</f>
        <v/>
      </c>
    </row>
    <row r="22">
      <c r="A22" s="4" t="n">
        <v>46305</v>
      </c>
      <c r="B22" s="5" t="inlineStr">
        <is>
          <t>SO-103</t>
        </is>
      </c>
      <c r="C22" s="5" t="n">
        <v>245</v>
      </c>
      <c r="D22" s="5" t="n">
        <v>10</v>
      </c>
      <c r="E22" s="10">
        <f>_xlfn.XLOOKUP(B22,Orders!$A$5:$A$500,Orders!$C$5:$C$500,"Check order")</f>
        <v/>
      </c>
    </row>
    <row r="23">
      <c r="A23" s="4" t="n">
        <v>46307</v>
      </c>
      <c r="B23" s="5" t="inlineStr">
        <is>
          <t>SO-102</t>
        </is>
      </c>
      <c r="C23" s="5" t="n">
        <v>250</v>
      </c>
      <c r="D23" s="5" t="n">
        <v>5</v>
      </c>
      <c r="E23" s="10">
        <f>_xlfn.XLOOKUP(B23,Orders!$A$5:$A$500,Orders!$C$5:$C$500,"Check order")</f>
        <v/>
      </c>
    </row>
    <row r="24">
      <c r="A24" s="4" t="n">
        <v>46307</v>
      </c>
      <c r="B24" s="5" t="inlineStr">
        <is>
          <t>SO-103</t>
        </is>
      </c>
      <c r="C24" s="5" t="n">
        <v>245</v>
      </c>
      <c r="D24" s="5" t="n">
        <v>10</v>
      </c>
      <c r="E24" s="10">
        <f>_xlfn.XLOOKUP(B24,Orders!$A$5:$A$500,Orders!$C$5:$C$500,"Check order")</f>
        <v/>
      </c>
    </row>
    <row r="25">
      <c r="A25" s="4" t="n">
        <v>46308</v>
      </c>
      <c r="B25" s="5" t="inlineStr">
        <is>
          <t>SO-102</t>
        </is>
      </c>
      <c r="C25" s="5" t="n">
        <v>250</v>
      </c>
      <c r="D25" s="5" t="n">
        <v>6</v>
      </c>
      <c r="E25" s="10">
        <f>_xlfn.XLOOKUP(B25,Orders!$A$5:$A$500,Orders!$C$5:$C$500,"Check order")</f>
        <v/>
      </c>
    </row>
    <row r="26">
      <c r="A26" s="4" t="n">
        <v>46308</v>
      </c>
      <c r="B26" s="5" t="inlineStr">
        <is>
          <t>SO-103</t>
        </is>
      </c>
      <c r="C26" s="5" t="n">
        <v>245</v>
      </c>
      <c r="D26" s="5" t="n">
        <v>10</v>
      </c>
      <c r="E26" s="10">
        <f>_xlfn.XLOOKUP(B26,Orders!$A$5:$A$500,Orders!$C$5:$C$500,"Check order")</f>
        <v/>
      </c>
    </row>
    <row r="27">
      <c r="A27" s="4" t="n">
        <v>46309</v>
      </c>
      <c r="B27" s="5" t="inlineStr">
        <is>
          <t>SO-103</t>
        </is>
      </c>
      <c r="C27" s="5" t="n">
        <v>255</v>
      </c>
      <c r="D27" s="5" t="n">
        <v>10</v>
      </c>
      <c r="E27" s="10">
        <f>_xlfn.XLOOKUP(B27,Orders!$A$5:$A$500,Orders!$C$5:$C$500,"Check order")</f>
        <v/>
      </c>
    </row>
    <row r="28">
      <c r="A28" s="4" t="n">
        <v>46309</v>
      </c>
      <c r="B28" s="5" t="inlineStr">
        <is>
          <t>SO-104</t>
        </is>
      </c>
      <c r="C28" s="5" t="n">
        <v>73</v>
      </c>
      <c r="D28" s="5" t="n">
        <v>1</v>
      </c>
      <c r="E28" s="10">
        <f>_xlfn.XLOOKUP(B28,Orders!$A$5:$A$500,Orders!$C$5:$C$500,"Check order")</f>
        <v/>
      </c>
    </row>
    <row r="29">
      <c r="A29" s="4" t="n">
        <v>46310</v>
      </c>
      <c r="B29" s="5" t="inlineStr">
        <is>
          <t>SO-104</t>
        </is>
      </c>
      <c r="C29" s="5" t="n">
        <v>73</v>
      </c>
      <c r="D29" s="5" t="n">
        <v>1</v>
      </c>
      <c r="E29" s="10">
        <f>_xlfn.XLOOKUP(B29,Orders!$A$5:$A$500,Orders!$C$5:$C$500,"Check order")</f>
        <v/>
      </c>
    </row>
    <row r="30">
      <c r="A30" s="4" t="n">
        <v>46310</v>
      </c>
      <c r="B30" s="5" t="inlineStr">
        <is>
          <t>SO-105</t>
        </is>
      </c>
      <c r="C30" s="5" t="n">
        <v>300</v>
      </c>
      <c r="D30" s="5" t="n">
        <v>4</v>
      </c>
      <c r="E30" s="10">
        <f>_xlfn.XLOOKUP(B30,Orders!$A$5:$A$500,Orders!$C$5:$C$500,"Check order")</f>
        <v/>
      </c>
    </row>
    <row r="31">
      <c r="A31" s="4" t="n">
        <v>46311</v>
      </c>
      <c r="B31" s="5" t="inlineStr">
        <is>
          <t>SO-104</t>
        </is>
      </c>
      <c r="C31" s="5" t="n">
        <v>74</v>
      </c>
      <c r="D31" s="5" t="n">
        <v>2</v>
      </c>
      <c r="E31" s="10">
        <f>_xlfn.XLOOKUP(B31,Orders!$A$5:$A$500,Orders!$C$5:$C$500,"Check order")</f>
        <v/>
      </c>
    </row>
    <row r="32">
      <c r="A32" s="4" t="n">
        <v>46311</v>
      </c>
      <c r="B32" s="5" t="inlineStr">
        <is>
          <t>SO-105</t>
        </is>
      </c>
      <c r="C32" s="5" t="n">
        <v>300</v>
      </c>
      <c r="D32" s="5" t="n">
        <v>5</v>
      </c>
      <c r="E32" s="10">
        <f>_xlfn.XLOOKUP(B32,Orders!$A$5:$A$500,Orders!$C$5:$C$500,"Check order")</f>
        <v/>
      </c>
    </row>
  </sheetData>
  <dataValidations count="1">
    <dataValidation sqref="B5:B3000" showDropDown="0" showInputMessage="0" showErrorMessage="1" allowBlank="1" errorTitle="Not in the list" error="Pick a value from the list" type="list">
      <formula1>=Orders!$A$5:$A$500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9" customWidth="1" min="4" max="4"/>
    <col width="8" customWidth="1" min="5" max="5"/>
  </cols>
  <sheetData>
    <row r="1">
      <c r="A1" s="1" t="inlineStr">
        <is>
          <t>Machine load and quality</t>
        </is>
      </c>
    </row>
    <row r="2">
      <c r="A2" s="2" t="inlineStr">
        <is>
          <t>Load = hours of orders not yet completed ÷ hours available in the next 20 working days.</t>
        </is>
      </c>
    </row>
    <row r="4">
      <c r="A4" s="8" t="inlineStr">
        <is>
          <t>Machine</t>
        </is>
      </c>
      <c r="B4" s="8" t="inlineStr">
        <is>
          <t>Open hours</t>
        </is>
      </c>
      <c r="C4" s="8" t="inlineStr">
        <is>
          <t>Hours in 20 days</t>
        </is>
      </c>
      <c r="D4" s="8" t="inlineStr">
        <is>
          <t>Load %</t>
        </is>
      </c>
    </row>
    <row r="5">
      <c r="A5" s="10">
        <f>Setup!A10</f>
        <v/>
      </c>
      <c r="B5" s="9">
        <f>SUMIFS(Orders!$H$5:$H$500,Orders!$G$5:$G$500,A5,Orders!$R$5:$R$500,"&lt;&gt;Completed")</f>
        <v/>
      </c>
      <c r="C5" s="9">
        <f>Setup!C10*20</f>
        <v/>
      </c>
      <c r="D5" s="17">
        <f>B5/C5</f>
        <v/>
      </c>
    </row>
    <row r="6">
      <c r="A6" s="10">
        <f>Setup!A11</f>
        <v/>
      </c>
      <c r="B6" s="9">
        <f>SUMIFS(Orders!$H$5:$H$500,Orders!$G$5:$G$500,A6,Orders!$R$5:$R$500,"&lt;&gt;Completed")</f>
        <v/>
      </c>
      <c r="C6" s="9">
        <f>Setup!C11*20</f>
        <v/>
      </c>
      <c r="D6" s="17">
        <f>B6/C6</f>
        <v/>
      </c>
    </row>
    <row r="9">
      <c r="A9" s="8" t="inlineStr">
        <is>
          <t>Product</t>
        </is>
      </c>
      <c r="B9" s="8" t="inlineStr">
        <is>
          <t>Good</t>
        </is>
      </c>
      <c r="C9" s="8" t="inlineStr">
        <is>
          <t>Rejects</t>
        </is>
      </c>
      <c r="D9" s="8" t="inlineStr">
        <is>
          <t>Reject %</t>
        </is>
      </c>
      <c r="E9" s="8" t="inlineStr">
        <is>
          <t>Alert</t>
        </is>
      </c>
    </row>
    <row r="10">
      <c r="A10" s="10">
        <f>Setup!A14</f>
        <v/>
      </c>
      <c r="B10" s="10">
        <f>SUMIFS(Orders!$N$5:$N$500,Orders!$C$5:$C$500,A10)</f>
        <v/>
      </c>
      <c r="C10" s="10">
        <f>SUMIFS(Orders!$O$5:$O$500,Orders!$C$5:$C$500,A10)</f>
        <v/>
      </c>
      <c r="D10" s="17">
        <f>IFERROR(C10/(B10+C10),0)</f>
        <v/>
      </c>
      <c r="E10" s="10">
        <f>IF(D10&gt;Setup!$B$7,"Check","OK")</f>
        <v/>
      </c>
    </row>
    <row r="11">
      <c r="A11" s="10">
        <f>Setup!A15</f>
        <v/>
      </c>
      <c r="B11" s="10">
        <f>SUMIFS(Orders!$N$5:$N$500,Orders!$C$5:$C$500,A11)</f>
        <v/>
      </c>
      <c r="C11" s="10">
        <f>SUMIFS(Orders!$O$5:$O$500,Orders!$C$5:$C$500,A11)</f>
        <v/>
      </c>
      <c r="D11" s="17">
        <f>IFERROR(C11/(B11+C11),0)</f>
        <v/>
      </c>
      <c r="E11" s="10">
        <f>IF(D11&gt;Setup!$B$7,"Check","OK")</f>
        <v/>
      </c>
    </row>
    <row r="12">
      <c r="A12" s="10">
        <f>Setup!A16</f>
        <v/>
      </c>
      <c r="B12" s="10">
        <f>SUMIFS(Orders!$N$5:$N$500,Orders!$C$5:$C$500,A12)</f>
        <v/>
      </c>
      <c r="C12" s="10">
        <f>SUMIFS(Orders!$O$5:$O$500,Orders!$C$5:$C$500,A12)</f>
        <v/>
      </c>
      <c r="D12" s="17">
        <f>IFERROR(C12/(B12+C12),0)</f>
        <v/>
      </c>
      <c r="E12" s="10">
        <f>IF(D12&gt;Setup!$B$7,"Check","OK")</f>
        <v/>
      </c>
    </row>
    <row r="13">
      <c r="A13" s="10">
        <f>Setup!A17</f>
        <v/>
      </c>
      <c r="B13" s="10">
        <f>SUMIFS(Orders!$N$5:$N$500,Orders!$C$5:$C$500,A13)</f>
        <v/>
      </c>
      <c r="C13" s="10">
        <f>SUMIFS(Orders!$O$5:$O$500,Orders!$C$5:$C$500,A13)</f>
        <v/>
      </c>
      <c r="D13" s="17">
        <f>IFERROR(C13/(B13+C13),0)</f>
        <v/>
      </c>
      <c r="E13" s="10">
        <f>IF(D13&gt;Setup!$B$7,"Check","OK")</f>
        <v/>
      </c>
    </row>
    <row r="14">
      <c r="A14" s="10">
        <f>Setup!A18</f>
        <v/>
      </c>
      <c r="B14" s="10">
        <f>SUMIFS(Orders!$N$5:$N$500,Orders!$C$5:$C$500,A14)</f>
        <v/>
      </c>
      <c r="C14" s="10">
        <f>SUMIFS(Orders!$O$5:$O$500,Orders!$C$5:$C$500,A14)</f>
        <v/>
      </c>
      <c r="D14" s="17">
        <f>IFERROR(C14/(B14+C14),0)</f>
        <v/>
      </c>
      <c r="E14" s="10">
        <f>IF(D14&gt;Setup!$B$7,"Check","OK")</f>
        <v/>
      </c>
    </row>
    <row r="15">
      <c r="A15" s="18" t="inlineStr">
        <is>
          <t>Total</t>
        </is>
      </c>
      <c r="B15" s="18">
        <f>SUM(B10:B14)</f>
        <v/>
      </c>
      <c r="C15" s="18">
        <f>SUM(C10:C14)</f>
        <v/>
      </c>
      <c r="D15" s="19">
        <f>IFERROR(C15/(B15+C15),0)</f>
        <v/>
      </c>
    </row>
  </sheetData>
  <conditionalFormatting sqref="E10:E14">
    <cfRule type="cellIs" priority="1" operator="equal" dxfId="0">
      <formula>"Check"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</cols>
  <sheetData>
    <row r="1">
      <c r="A1" s="1" t="inlineStr">
        <is>
          <t>Printable job order for the shop floor</t>
        </is>
      </c>
    </row>
    <row r="2">
      <c r="A2" s="2" t="inlineStr">
        <is>
          <t>Type an order number in B4. Print A1:B16.</t>
        </is>
      </c>
    </row>
    <row r="3">
      <c r="A3" s="3" t="inlineStr">
        <is>
          <t>Salman Engineering Works, Sambhaji Nagar</t>
        </is>
      </c>
    </row>
    <row r="4">
      <c r="A4" s="3" t="inlineStr">
        <is>
          <t>Order no</t>
        </is>
      </c>
      <c r="B4" s="5" t="inlineStr">
        <is>
          <t>SO-106</t>
        </is>
      </c>
    </row>
    <row r="6">
      <c r="A6" s="3" t="inlineStr">
        <is>
          <t>Customer</t>
        </is>
      </c>
      <c r="B6" s="10">
        <f>_xlfn.XLOOKUP($B$4,Orders!$A$5:$A$500,Orders!$B$5:$B$500,"Not found")</f>
        <v/>
      </c>
    </row>
    <row r="7">
      <c r="A7" s="3" t="inlineStr">
        <is>
          <t>Product</t>
        </is>
      </c>
      <c r="B7" s="10">
        <f>_xlfn.XLOOKUP($B$4,Orders!$A$5:$A$500,Orders!$C$5:$C$500,"Not found")</f>
        <v/>
      </c>
    </row>
    <row r="8">
      <c r="A8" s="3" t="inlineStr">
        <is>
          <t>Qty</t>
        </is>
      </c>
      <c r="B8" s="15">
        <f>_xlfn.XLOOKUP($B$4,Orders!$A$5:$A$500,Orders!$D$5:$D$500,"Not found")</f>
        <v/>
      </c>
    </row>
    <row r="9">
      <c r="A9" s="3" t="inlineStr">
        <is>
          <t>Machine</t>
        </is>
      </c>
      <c r="B9" s="10">
        <f>_xlfn.XLOOKUP($B$4,Orders!$A$5:$A$500,Orders!$G$5:$G$500,"Not found")</f>
        <v/>
      </c>
    </row>
    <row r="10">
      <c r="A10" s="3" t="inlineStr">
        <is>
          <t>Hours needed</t>
        </is>
      </c>
      <c r="B10" s="9">
        <f>_xlfn.XLOOKUP($B$4,Orders!$A$5:$A$500,Orders!$H$5:$H$500,"Not found")</f>
        <v/>
      </c>
    </row>
    <row r="11">
      <c r="A11" s="3" t="inlineStr">
        <is>
          <t>Planned start</t>
        </is>
      </c>
      <c r="B11" s="12">
        <f>_xlfn.XLOOKUP($B$4,Orders!$A$5:$A$500,Orders!$F$5:$F$500,"Not found")</f>
        <v/>
      </c>
    </row>
    <row r="12">
      <c r="A12" s="3" t="inlineStr">
        <is>
          <t>Planned finish</t>
        </is>
      </c>
      <c r="B12" s="12">
        <f>_xlfn.XLOOKUP($B$4,Orders!$A$5:$A$500,Orders!$J$5:$J$500,"Not found")</f>
        <v/>
      </c>
    </row>
    <row r="13">
      <c r="A13" s="3" t="inlineStr">
        <is>
          <t>Due date</t>
        </is>
      </c>
      <c r="B13" s="12">
        <f>_xlfn.XLOOKUP($B$4,Orders!$A$5:$A$500,Orders!$E$5:$E$500,"Not found")</f>
        <v/>
      </c>
    </row>
    <row r="14">
      <c r="A14" s="3" t="inlineStr">
        <is>
          <t>Steel to issue (kg)</t>
        </is>
      </c>
      <c r="B14" s="13">
        <f>_xlfn.XLOOKUP($B$4,Orders!$A$5:$A$500,Orders!$L$5:$L$500,"Not found")</f>
        <v/>
      </c>
    </row>
    <row r="16">
      <c r="A16" t="inlineStr">
        <is>
          <t>Record good pieces and rejects at the end of each shift.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Production dashboard: October 2026</t>
        </is>
      </c>
    </row>
    <row r="2">
      <c r="A2" s="2" t="inlineStr">
        <is>
          <t>Formulas over Orders and Report.</t>
        </is>
      </c>
    </row>
    <row r="4" ht="32" customHeight="1">
      <c r="A4" s="8" t="inlineStr">
        <is>
          <t>Open orders</t>
        </is>
      </c>
      <c r="B4" s="8" t="inlineStr">
        <is>
          <t>Late on plan</t>
        </is>
      </c>
      <c r="C4" s="8" t="inlineStr">
        <is>
          <t>CNC lathe load</t>
        </is>
      </c>
      <c r="D4" s="8" t="inlineStr">
        <is>
          <t>Power press load</t>
        </is>
      </c>
      <c r="E4" s="8" t="inlineStr">
        <is>
          <t>Reject %</t>
        </is>
      </c>
      <c r="F4" s="8" t="inlineStr">
        <is>
          <t>Steel for open orders (kg)</t>
        </is>
      </c>
    </row>
    <row r="5" ht="30" customHeight="1">
      <c r="A5" s="20">
        <f>COUNTA(Orders!$B$5:$B$500)-COUNTIF(Orders!$R$5:$R$500,"Completed")</f>
        <v/>
      </c>
      <c r="B5" s="20">
        <f>COUNTIFS(Orders!$K$5:$K$500,"Late",Orders!$R$5:$R$500,"&lt;&gt;Completed")</f>
        <v/>
      </c>
      <c r="C5" s="21">
        <f>Report!D5</f>
        <v/>
      </c>
      <c r="D5" s="21">
        <f>Report!D6</f>
        <v/>
      </c>
      <c r="E5" s="21">
        <f>Report!D15</f>
        <v/>
      </c>
      <c r="F5" s="22">
        <f>SUMIFS(Orders!$L$5:$L$500,Orders!$R$5:$R$500,"&lt;&gt;Completed")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2026-10-17T06:59:10Z</dcterms:created>
  <dcterms:modified xmlns:dcterms="http://purl.org/dc/terms/" xmlns:xsi="http://www.w3.org/2001/XMLSchema-instance" xsi:type="dcterms:W3CDTF">2026-10-17T06:59:10Z</dcterms:modified>
</cp:coreProperties>
</file>