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Assets" sheetId="3" state="visible" r:id="rId3"/>
    <sheet xmlns:r="http://schemas.openxmlformats.org/officeDocument/2006/relationships" name="Repairs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Asset card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'Asset card'!$A$1:$B$15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4" borderId="1" pivotButton="0" quotePrefix="0" xfId="0"/>
    <xf numFmtId="166" fontId="0" fillId="2" borderId="1" pivotButton="0" quotePrefix="0" xfId="0"/>
    <xf numFmtId="165" fontId="0" fillId="4" borderId="1" pivotButton="0" quotePrefix="0" xfId="0"/>
    <xf numFmtId="2" fontId="0" fillId="4" borderId="1" pivotButton="0" quotePrefix="0" xfId="0"/>
    <xf numFmtId="166" fontId="0" fillId="4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and book value by department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'Report'!$C$5:$C$8</f>
            </numRef>
          </val>
        </ser>
        <ser>
          <idx val="1"/>
          <order val="1"/>
          <tx>
            <strRef>
              <f>'Report'!D4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'Report'!$D$5:$D$8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Items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'Report'!$A$12:$A$16</f>
            </numRef>
          </cat>
          <val>
            <numRef>
              <f>'Report'!$B$12:$B$16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IT asset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(categories and useful life, departments, status), Assets, Repairs, Report, Asset card (printable), Dashboard.</t>
        </is>
      </c>
    </row>
    <row r="8">
      <c r="A8" t="inlineStr">
        <is>
          <t>Give every item a tag and stick it on the item. Change Assigned to and Status the day an item moves.</t>
        </is>
      </c>
    </row>
    <row r="9">
      <c r="A9" t="inlineStr">
        <is>
          <t>Book value is a simple estimate for planning replacements. Your accountant's depreciation for tax is separate.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2" customWidth="1" min="1" max="1"/>
    <col width="17" customWidth="1" min="2" max="2"/>
    <col width="13" customWidth="1" min="4" max="4"/>
    <col width="13" customWidth="1" min="6" max="6"/>
  </cols>
  <sheetData>
    <row r="1">
      <c r="A1" s="1" t="inlineStr">
        <is>
          <t>IT Asset Management System: Setup (Bagale Tech, Pune)</t>
        </is>
      </c>
    </row>
    <row r="2">
      <c r="A2" s="2" t="inlineStr">
        <is>
          <t>Made-up laptops, desktops, printers and phones as of 17 October 2026. Book value here is a simple straight-line estimate for internal use, not tax depreciation.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Warranty alert (days)</t>
        </is>
      </c>
      <c r="B4" s="5" t="n">
        <v>60</v>
      </c>
    </row>
    <row r="6">
      <c r="A6" s="6" t="inlineStr">
        <is>
          <t>Category</t>
        </is>
      </c>
      <c r="B6" s="6" t="inlineStr">
        <is>
          <t>Useful life (years)</t>
        </is>
      </c>
      <c r="D6" s="7" t="inlineStr">
        <is>
          <t>Departments</t>
        </is>
      </c>
      <c r="F6" s="7" t="inlineStr">
        <is>
          <t>Status</t>
        </is>
      </c>
    </row>
    <row r="7">
      <c r="A7" s="5" t="inlineStr">
        <is>
          <t>Laptop</t>
        </is>
      </c>
      <c r="B7" s="5" t="n">
        <v>3</v>
      </c>
      <c r="D7" s="5" t="inlineStr">
        <is>
          <t>Development</t>
        </is>
      </c>
      <c r="F7" s="5" t="inlineStr">
        <is>
          <t>In use</t>
        </is>
      </c>
    </row>
    <row r="8">
      <c r="A8" s="5" t="inlineStr">
        <is>
          <t>Desktop</t>
        </is>
      </c>
      <c r="B8" s="5" t="n">
        <v>5</v>
      </c>
      <c r="D8" s="5" t="inlineStr">
        <is>
          <t>Sales</t>
        </is>
      </c>
      <c r="F8" s="5" t="inlineStr">
        <is>
          <t>In stock</t>
        </is>
      </c>
    </row>
    <row r="9">
      <c r="A9" s="5" t="inlineStr">
        <is>
          <t>Printer</t>
        </is>
      </c>
      <c r="B9" s="5" t="n">
        <v>5</v>
      </c>
      <c r="D9" s="5" t="inlineStr">
        <is>
          <t>Accounts</t>
        </is>
      </c>
      <c r="F9" s="5" t="inlineStr">
        <is>
          <t>Under repair</t>
        </is>
      </c>
    </row>
    <row r="10">
      <c r="A10" s="5" t="inlineStr">
        <is>
          <t>Mobile phone</t>
        </is>
      </c>
      <c r="B10" s="5" t="n">
        <v>2</v>
      </c>
      <c r="D10" s="5" t="inlineStr">
        <is>
          <t>Admin</t>
        </is>
      </c>
      <c r="F10" s="5" t="inlineStr">
        <is>
          <t>Retired</t>
        </is>
      </c>
    </row>
    <row r="11">
      <c r="A11" s="5" t="inlineStr">
        <is>
          <t>Network device</t>
        </is>
      </c>
      <c r="B11" s="5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2" customWidth="1" min="7" max="7"/>
    <col width="11" customWidth="1" min="8" max="8"/>
    <col width="9" customWidth="1" min="9" max="9"/>
    <col width="11" customWidth="1" min="10" max="10"/>
    <col width="12" customWidth="1" min="11" max="11"/>
    <col width="8" customWidth="1" min="12" max="12"/>
    <col width="11" customWidth="1" min="13" max="13"/>
    <col width="10" customWidth="1" min="14" max="14"/>
  </cols>
  <sheetData>
    <row r="1">
      <c r="A1" s="1" t="inlineStr">
        <is>
          <t>Asset register</t>
        </is>
      </c>
    </row>
    <row r="2">
      <c r="A2" s="2" t="inlineStr">
        <is>
          <t>One row per item, with a unique asset tag. Age in years = (today − purchase date) ÷ 365. Book value = cost × (1 − age ÷ life), not below zero.</t>
        </is>
      </c>
    </row>
    <row r="4">
      <c r="A4" s="6" t="inlineStr">
        <is>
          <t>Asset tag</t>
        </is>
      </c>
      <c r="B4" s="6" t="inlineStr">
        <is>
          <t>Category</t>
        </is>
      </c>
      <c r="C4" s="6" t="inlineStr">
        <is>
          <t>Description</t>
        </is>
      </c>
      <c r="D4" s="6" t="inlineStr">
        <is>
          <t>Purchase date</t>
        </is>
      </c>
      <c r="E4" s="6" t="inlineStr">
        <is>
          <t>Cost (₹)</t>
        </is>
      </c>
      <c r="F4" s="6" t="inlineStr">
        <is>
          <t>Assigned to</t>
        </is>
      </c>
      <c r="G4" s="6" t="inlineStr">
        <is>
          <t>Department</t>
        </is>
      </c>
      <c r="H4" s="6" t="inlineStr">
        <is>
          <t>Status</t>
        </is>
      </c>
      <c r="I4" s="6" t="inlineStr">
        <is>
          <t>Warranty (years)</t>
        </is>
      </c>
      <c r="J4" s="6" t="inlineStr">
        <is>
          <t>Warranty ends</t>
        </is>
      </c>
      <c r="K4" s="6" t="inlineStr">
        <is>
          <t>Warranty status</t>
        </is>
      </c>
      <c r="L4" s="6" t="inlineStr">
        <is>
          <t>Age (years)</t>
        </is>
      </c>
      <c r="M4" s="6" t="inlineStr">
        <is>
          <t>Book value (₹)</t>
        </is>
      </c>
      <c r="N4" s="6" t="inlineStr">
        <is>
          <t>Repairs (₹)</t>
        </is>
      </c>
    </row>
    <row r="5">
      <c r="A5" s="8">
        <f>"IT-"&amp;TEXT(ROW()-4,"000")</f>
        <v/>
      </c>
      <c r="B5" s="5" t="inlineStr">
        <is>
          <t>Laptop</t>
        </is>
      </c>
      <c r="C5" s="5" t="inlineStr">
        <is>
          <t>Laptop 14 inch 16 GB</t>
        </is>
      </c>
      <c r="D5" s="4" t="n">
        <v>45392</v>
      </c>
      <c r="E5" s="9" t="n">
        <v>68000</v>
      </c>
      <c r="F5" s="5" t="inlineStr">
        <is>
          <t>Ravindra Bagale</t>
        </is>
      </c>
      <c r="G5" s="5" t="inlineStr">
        <is>
          <t>Development</t>
        </is>
      </c>
      <c r="H5" s="5" t="inlineStr">
        <is>
          <t>In use</t>
        </is>
      </c>
      <c r="I5" s="5" t="n">
        <v>3</v>
      </c>
      <c r="J5" s="10">
        <f>EDATE(D5,12*I5)</f>
        <v/>
      </c>
      <c r="K5" s="8">
        <f>IF(J5&lt;Setup!$B$3,"Expired",IF(J5-Setup!$B$3&lt;=Setup!$B$4,"Ending soon","Active"))</f>
        <v/>
      </c>
      <c r="L5" s="11">
        <f>ROUND((Setup!$B$3-D5)/365,2)</f>
        <v/>
      </c>
      <c r="M5" s="12">
        <f>ROUND(E5*MAX(0,1-L5/_xlfn.XLOOKUP(B5,Setup!$A$7:$A$11,Setup!$B$7:$B$11,1)),0)</f>
        <v/>
      </c>
      <c r="N5" s="12">
        <f>SUMIFS(Repairs!$E$5:$E$2000,Repairs!$B$5:$B$2000,A5)</f>
        <v/>
      </c>
    </row>
    <row r="6">
      <c r="A6" s="8">
        <f>"IT-"&amp;TEXT(ROW()-4,"000")</f>
        <v/>
      </c>
      <c r="B6" s="5" t="inlineStr">
        <is>
          <t>Laptop</t>
        </is>
      </c>
      <c r="C6" s="5" t="inlineStr">
        <is>
          <t>Laptop 14 inch 16 GB</t>
        </is>
      </c>
      <c r="D6" s="4" t="n">
        <v>45392</v>
      </c>
      <c r="E6" s="9" t="n">
        <v>68000</v>
      </c>
      <c r="F6" s="5" t="inlineStr">
        <is>
          <t>Shraddha Patil</t>
        </is>
      </c>
      <c r="G6" s="5" t="inlineStr">
        <is>
          <t>Development</t>
        </is>
      </c>
      <c r="H6" s="5" t="inlineStr">
        <is>
          <t>In use</t>
        </is>
      </c>
      <c r="I6" s="5" t="n">
        <v>3</v>
      </c>
      <c r="J6" s="10">
        <f>EDATE(D6,12*I6)</f>
        <v/>
      </c>
      <c r="K6" s="8">
        <f>IF(J6&lt;Setup!$B$3,"Expired",IF(J6-Setup!$B$3&lt;=Setup!$B$4,"Ending soon","Active"))</f>
        <v/>
      </c>
      <c r="L6" s="11">
        <f>ROUND((Setup!$B$3-D6)/365,2)</f>
        <v/>
      </c>
      <c r="M6" s="12">
        <f>ROUND(E6*MAX(0,1-L6/_xlfn.XLOOKUP(B6,Setup!$A$7:$A$11,Setup!$B$7:$B$11,1)),0)</f>
        <v/>
      </c>
      <c r="N6" s="12">
        <f>SUMIFS(Repairs!$E$5:$E$2000,Repairs!$B$5:$B$2000,A6)</f>
        <v/>
      </c>
    </row>
    <row r="7">
      <c r="A7" s="8">
        <f>"IT-"&amp;TEXT(ROW()-4,"000")</f>
        <v/>
      </c>
      <c r="B7" s="5" t="inlineStr">
        <is>
          <t>Laptop</t>
        </is>
      </c>
      <c r="C7" s="5" t="inlineStr">
        <is>
          <t>Laptop 15 inch 8 GB</t>
        </is>
      </c>
      <c r="D7" s="4" t="n">
        <v>45250</v>
      </c>
      <c r="E7" s="9" t="n">
        <v>52000</v>
      </c>
      <c r="F7" s="5" t="inlineStr">
        <is>
          <t>Amir Sayyed</t>
        </is>
      </c>
      <c r="G7" s="5" t="inlineStr">
        <is>
          <t>Sales</t>
        </is>
      </c>
      <c r="H7" s="5" t="inlineStr">
        <is>
          <t>In use</t>
        </is>
      </c>
      <c r="I7" s="5" t="n">
        <v>3</v>
      </c>
      <c r="J7" s="10">
        <f>EDATE(D7,12*I7)</f>
        <v/>
      </c>
      <c r="K7" s="8">
        <f>IF(J7&lt;Setup!$B$3,"Expired",IF(J7-Setup!$B$3&lt;=Setup!$B$4,"Ending soon","Active"))</f>
        <v/>
      </c>
      <c r="L7" s="11">
        <f>ROUND((Setup!$B$3-D7)/365,2)</f>
        <v/>
      </c>
      <c r="M7" s="12">
        <f>ROUND(E7*MAX(0,1-L7/_xlfn.XLOOKUP(B7,Setup!$A$7:$A$11,Setup!$B$7:$B$11,1)),0)</f>
        <v/>
      </c>
      <c r="N7" s="12">
        <f>SUMIFS(Repairs!$E$5:$E$2000,Repairs!$B$5:$B$2000,A7)</f>
        <v/>
      </c>
    </row>
    <row r="8">
      <c r="A8" s="8">
        <f>"IT-"&amp;TEXT(ROW()-4,"000")</f>
        <v/>
      </c>
      <c r="B8" s="5" t="inlineStr">
        <is>
          <t>Laptop</t>
        </is>
      </c>
      <c r="C8" s="5" t="inlineStr">
        <is>
          <t>Laptop 15 inch 8 GB</t>
        </is>
      </c>
      <c r="D8" s="4" t="n">
        <v>45250</v>
      </c>
      <c r="E8" s="9" t="n">
        <v>52000</v>
      </c>
      <c r="F8" s="5" t="inlineStr">
        <is>
          <t>Zoya Khan</t>
        </is>
      </c>
      <c r="G8" s="5" t="inlineStr">
        <is>
          <t>Sales</t>
        </is>
      </c>
      <c r="H8" s="5" t="inlineStr">
        <is>
          <t>Under repair</t>
        </is>
      </c>
      <c r="I8" s="5" t="n">
        <v>3</v>
      </c>
      <c r="J8" s="10">
        <f>EDATE(D8,12*I8)</f>
        <v/>
      </c>
      <c r="K8" s="8">
        <f>IF(J8&lt;Setup!$B$3,"Expired",IF(J8-Setup!$B$3&lt;=Setup!$B$4,"Ending soon","Active"))</f>
        <v/>
      </c>
      <c r="L8" s="11">
        <f>ROUND((Setup!$B$3-D8)/365,2)</f>
        <v/>
      </c>
      <c r="M8" s="12">
        <f>ROUND(E8*MAX(0,1-L8/_xlfn.XLOOKUP(B8,Setup!$A$7:$A$11,Setup!$B$7:$B$11,1)),0)</f>
        <v/>
      </c>
      <c r="N8" s="12">
        <f>SUMIFS(Repairs!$E$5:$E$2000,Repairs!$B$5:$B$2000,A8)</f>
        <v/>
      </c>
    </row>
    <row r="9">
      <c r="A9" s="8">
        <f>"IT-"&amp;TEXT(ROW()-4,"000")</f>
        <v/>
      </c>
      <c r="B9" s="5" t="inlineStr">
        <is>
          <t>Laptop</t>
        </is>
      </c>
      <c r="C9" s="5" t="inlineStr">
        <is>
          <t>Laptop 14 inch 16 GB</t>
        </is>
      </c>
      <c r="D9" s="4" t="n">
        <v>45874</v>
      </c>
      <c r="E9" s="9" t="n">
        <v>72000</v>
      </c>
      <c r="F9" s="5" t="inlineStr">
        <is>
          <t>Raja Jadhav</t>
        </is>
      </c>
      <c r="G9" s="5" t="inlineStr">
        <is>
          <t>Development</t>
        </is>
      </c>
      <c r="H9" s="5" t="inlineStr">
        <is>
          <t>In use</t>
        </is>
      </c>
      <c r="I9" s="5" t="n">
        <v>3</v>
      </c>
      <c r="J9" s="10">
        <f>EDATE(D9,12*I9)</f>
        <v/>
      </c>
      <c r="K9" s="8">
        <f>IF(J9&lt;Setup!$B$3,"Expired",IF(J9-Setup!$B$3&lt;=Setup!$B$4,"Ending soon","Active"))</f>
        <v/>
      </c>
      <c r="L9" s="11">
        <f>ROUND((Setup!$B$3-D9)/365,2)</f>
        <v/>
      </c>
      <c r="M9" s="12">
        <f>ROUND(E9*MAX(0,1-L9/_xlfn.XLOOKUP(B9,Setup!$A$7:$A$11,Setup!$B$7:$B$11,1)),0)</f>
        <v/>
      </c>
      <c r="N9" s="12">
        <f>SUMIFS(Repairs!$E$5:$E$2000,Repairs!$B$5:$B$2000,A9)</f>
        <v/>
      </c>
    </row>
    <row r="10">
      <c r="A10" s="8">
        <f>"IT-"&amp;TEXT(ROW()-4,"000")</f>
        <v/>
      </c>
      <c r="B10" s="5" t="inlineStr">
        <is>
          <t>Laptop</t>
        </is>
      </c>
      <c r="C10" s="5" t="inlineStr">
        <is>
          <t>Laptop 14 inch 16 GB</t>
        </is>
      </c>
      <c r="D10" s="4" t="n">
        <v>45874</v>
      </c>
      <c r="E10" s="9" t="n">
        <v>72000</v>
      </c>
      <c r="F10" s="5" t="n"/>
      <c r="G10" s="5" t="inlineStr">
        <is>
          <t>Development</t>
        </is>
      </c>
      <c r="H10" s="5" t="inlineStr">
        <is>
          <t>In stock</t>
        </is>
      </c>
      <c r="I10" s="5" t="n">
        <v>3</v>
      </c>
      <c r="J10" s="10">
        <f>EDATE(D10,12*I10)</f>
        <v/>
      </c>
      <c r="K10" s="8">
        <f>IF(J10&lt;Setup!$B$3,"Expired",IF(J10-Setup!$B$3&lt;=Setup!$B$4,"Ending soon","Active"))</f>
        <v/>
      </c>
      <c r="L10" s="11">
        <f>ROUND((Setup!$B$3-D10)/365,2)</f>
        <v/>
      </c>
      <c r="M10" s="12">
        <f>ROUND(E10*MAX(0,1-L10/_xlfn.XLOOKUP(B10,Setup!$A$7:$A$11,Setup!$B$7:$B$11,1)),0)</f>
        <v/>
      </c>
      <c r="N10" s="12">
        <f>SUMIFS(Repairs!$E$5:$E$2000,Repairs!$B$5:$B$2000,A10)</f>
        <v/>
      </c>
    </row>
    <row r="11">
      <c r="A11" s="8">
        <f>"IT-"&amp;TEXT(ROW()-4,"000")</f>
        <v/>
      </c>
      <c r="B11" s="5" t="inlineStr">
        <is>
          <t>Desktop</t>
        </is>
      </c>
      <c r="C11" s="5" t="inlineStr">
        <is>
          <t>Desktop tower 16 GB</t>
        </is>
      </c>
      <c r="D11" s="4" t="n">
        <v>44727</v>
      </c>
      <c r="E11" s="9" t="n">
        <v>48000</v>
      </c>
      <c r="F11" s="5" t="inlineStr">
        <is>
          <t>Rani Pawar</t>
        </is>
      </c>
      <c r="G11" s="5" t="inlineStr">
        <is>
          <t>Accounts</t>
        </is>
      </c>
      <c r="H11" s="5" t="inlineStr">
        <is>
          <t>In use</t>
        </is>
      </c>
      <c r="I11" s="5" t="n">
        <v>3</v>
      </c>
      <c r="J11" s="10">
        <f>EDATE(D11,12*I11)</f>
        <v/>
      </c>
      <c r="K11" s="8">
        <f>IF(J11&lt;Setup!$B$3,"Expired",IF(J11-Setup!$B$3&lt;=Setup!$B$4,"Ending soon","Active"))</f>
        <v/>
      </c>
      <c r="L11" s="11">
        <f>ROUND((Setup!$B$3-D11)/365,2)</f>
        <v/>
      </c>
      <c r="M11" s="12">
        <f>ROUND(E11*MAX(0,1-L11/_xlfn.XLOOKUP(B11,Setup!$A$7:$A$11,Setup!$B$7:$B$11,1)),0)</f>
        <v/>
      </c>
      <c r="N11" s="12">
        <f>SUMIFS(Repairs!$E$5:$E$2000,Repairs!$B$5:$B$2000,A11)</f>
        <v/>
      </c>
    </row>
    <row r="12">
      <c r="A12" s="8">
        <f>"IT-"&amp;TEXT(ROW()-4,"000")</f>
        <v/>
      </c>
      <c r="B12" s="5" t="inlineStr">
        <is>
          <t>Desktop</t>
        </is>
      </c>
      <c r="C12" s="5" t="inlineStr">
        <is>
          <t>Desktop tower 16 GB</t>
        </is>
      </c>
      <c r="D12" s="4" t="n">
        <v>44727</v>
      </c>
      <c r="E12" s="9" t="n">
        <v>48000</v>
      </c>
      <c r="F12" s="5" t="inlineStr">
        <is>
          <t>Salman Shaikh</t>
        </is>
      </c>
      <c r="G12" s="5" t="inlineStr">
        <is>
          <t>Accounts</t>
        </is>
      </c>
      <c r="H12" s="5" t="inlineStr">
        <is>
          <t>In use</t>
        </is>
      </c>
      <c r="I12" s="5" t="n">
        <v>3</v>
      </c>
      <c r="J12" s="10">
        <f>EDATE(D12,12*I12)</f>
        <v/>
      </c>
      <c r="K12" s="8">
        <f>IF(J12&lt;Setup!$B$3,"Expired",IF(J12-Setup!$B$3&lt;=Setup!$B$4,"Ending soon","Active"))</f>
        <v/>
      </c>
      <c r="L12" s="11">
        <f>ROUND((Setup!$B$3-D12)/365,2)</f>
        <v/>
      </c>
      <c r="M12" s="12">
        <f>ROUND(E12*MAX(0,1-L12/_xlfn.XLOOKUP(B12,Setup!$A$7:$A$11,Setup!$B$7:$B$11,1)),0)</f>
        <v/>
      </c>
      <c r="N12" s="12">
        <f>SUMIFS(Repairs!$E$5:$E$2000,Repairs!$B$5:$B$2000,A12)</f>
        <v/>
      </c>
    </row>
    <row r="13">
      <c r="A13" s="8">
        <f>"IT-"&amp;TEXT(ROW()-4,"000")</f>
        <v/>
      </c>
      <c r="B13" s="5" t="inlineStr">
        <is>
          <t>Printer</t>
        </is>
      </c>
      <c r="C13" s="5" t="inlineStr">
        <is>
          <t>Laser printer A4</t>
        </is>
      </c>
      <c r="D13" s="4" t="n">
        <v>44938</v>
      </c>
      <c r="E13" s="9" t="n">
        <v>24000</v>
      </c>
      <c r="F13" s="5" t="inlineStr">
        <is>
          <t>Accounts team</t>
        </is>
      </c>
      <c r="G13" s="5" t="inlineStr">
        <is>
          <t>Accounts</t>
        </is>
      </c>
      <c r="H13" s="5" t="inlineStr">
        <is>
          <t>In use</t>
        </is>
      </c>
      <c r="I13" s="5" t="n">
        <v>1</v>
      </c>
      <c r="J13" s="10">
        <f>EDATE(D13,12*I13)</f>
        <v/>
      </c>
      <c r="K13" s="8">
        <f>IF(J13&lt;Setup!$B$3,"Expired",IF(J13-Setup!$B$3&lt;=Setup!$B$4,"Ending soon","Active"))</f>
        <v/>
      </c>
      <c r="L13" s="11">
        <f>ROUND((Setup!$B$3-D13)/365,2)</f>
        <v/>
      </c>
      <c r="M13" s="12">
        <f>ROUND(E13*MAX(0,1-L13/_xlfn.XLOOKUP(B13,Setup!$A$7:$A$11,Setup!$B$7:$B$11,1)),0)</f>
        <v/>
      </c>
      <c r="N13" s="12">
        <f>SUMIFS(Repairs!$E$5:$E$2000,Repairs!$B$5:$B$2000,A13)</f>
        <v/>
      </c>
    </row>
    <row r="14">
      <c r="A14" s="8">
        <f>"IT-"&amp;TEXT(ROW()-4,"000")</f>
        <v/>
      </c>
      <c r="B14" s="5" t="inlineStr">
        <is>
          <t>Mobile phone</t>
        </is>
      </c>
      <c r="C14" s="5" t="inlineStr">
        <is>
          <t>Phone 128 GB</t>
        </is>
      </c>
      <c r="D14" s="4" t="n">
        <v>45598</v>
      </c>
      <c r="E14" s="9" t="n">
        <v>22000</v>
      </c>
      <c r="F14" s="5" t="inlineStr">
        <is>
          <t>Amir Sayyed</t>
        </is>
      </c>
      <c r="G14" s="5" t="inlineStr">
        <is>
          <t>Sales</t>
        </is>
      </c>
      <c r="H14" s="5" t="inlineStr">
        <is>
          <t>In use</t>
        </is>
      </c>
      <c r="I14" s="5" t="n">
        <v>1</v>
      </c>
      <c r="J14" s="10">
        <f>EDATE(D14,12*I14)</f>
        <v/>
      </c>
      <c r="K14" s="8">
        <f>IF(J14&lt;Setup!$B$3,"Expired",IF(J14-Setup!$B$3&lt;=Setup!$B$4,"Ending soon","Active"))</f>
        <v/>
      </c>
      <c r="L14" s="11">
        <f>ROUND((Setup!$B$3-D14)/365,2)</f>
        <v/>
      </c>
      <c r="M14" s="12">
        <f>ROUND(E14*MAX(0,1-L14/_xlfn.XLOOKUP(B14,Setup!$A$7:$A$11,Setup!$B$7:$B$11,1)),0)</f>
        <v/>
      </c>
      <c r="N14" s="12">
        <f>SUMIFS(Repairs!$E$5:$E$2000,Repairs!$B$5:$B$2000,A14)</f>
        <v/>
      </c>
    </row>
    <row r="15">
      <c r="A15" s="8">
        <f>"IT-"&amp;TEXT(ROW()-4,"000")</f>
        <v/>
      </c>
      <c r="B15" s="5" t="inlineStr">
        <is>
          <t>Mobile phone</t>
        </is>
      </c>
      <c r="C15" s="5" t="inlineStr">
        <is>
          <t>Phone 128 GB</t>
        </is>
      </c>
      <c r="D15" s="4" t="n">
        <v>45598</v>
      </c>
      <c r="E15" s="9" t="n">
        <v>22000</v>
      </c>
      <c r="F15" s="5" t="inlineStr">
        <is>
          <t>Ruhi Kulkarni</t>
        </is>
      </c>
      <c r="G15" s="5" t="inlineStr">
        <is>
          <t>Sales</t>
        </is>
      </c>
      <c r="H15" s="5" t="inlineStr">
        <is>
          <t>In use</t>
        </is>
      </c>
      <c r="I15" s="5" t="n">
        <v>1</v>
      </c>
      <c r="J15" s="10">
        <f>EDATE(D15,12*I15)</f>
        <v/>
      </c>
      <c r="K15" s="8">
        <f>IF(J15&lt;Setup!$B$3,"Expired",IF(J15-Setup!$B$3&lt;=Setup!$B$4,"Ending soon","Active"))</f>
        <v/>
      </c>
      <c r="L15" s="11">
        <f>ROUND((Setup!$B$3-D15)/365,2)</f>
        <v/>
      </c>
      <c r="M15" s="12">
        <f>ROUND(E15*MAX(0,1-L15/_xlfn.XLOOKUP(B15,Setup!$A$7:$A$11,Setup!$B$7:$B$11,1)),0)</f>
        <v/>
      </c>
      <c r="N15" s="12">
        <f>SUMIFS(Repairs!$E$5:$E$2000,Repairs!$B$5:$B$2000,A15)</f>
        <v/>
      </c>
    </row>
    <row r="16">
      <c r="A16" s="8">
        <f>"IT-"&amp;TEXT(ROW()-4,"000")</f>
        <v/>
      </c>
      <c r="B16" s="5" t="inlineStr">
        <is>
          <t>Network device</t>
        </is>
      </c>
      <c r="C16" s="5" t="inlineStr">
        <is>
          <t>Office router and switch</t>
        </is>
      </c>
      <c r="D16" s="4" t="n">
        <v>44440</v>
      </c>
      <c r="E16" s="9" t="n">
        <v>35000</v>
      </c>
      <c r="F16" s="5" t="inlineStr">
        <is>
          <t>Server room</t>
        </is>
      </c>
      <c r="G16" s="5" t="inlineStr">
        <is>
          <t>Admin</t>
        </is>
      </c>
      <c r="H16" s="5" t="inlineStr">
        <is>
          <t>In use</t>
        </is>
      </c>
      <c r="I16" s="5" t="n">
        <v>3</v>
      </c>
      <c r="J16" s="10">
        <f>EDATE(D16,12*I16)</f>
        <v/>
      </c>
      <c r="K16" s="8">
        <f>IF(J16&lt;Setup!$B$3,"Expired",IF(J16-Setup!$B$3&lt;=Setup!$B$4,"Ending soon","Active"))</f>
        <v/>
      </c>
      <c r="L16" s="11">
        <f>ROUND((Setup!$B$3-D16)/365,2)</f>
        <v/>
      </c>
      <c r="M16" s="12">
        <f>ROUND(E16*MAX(0,1-L16/_xlfn.XLOOKUP(B16,Setup!$A$7:$A$11,Setup!$B$7:$B$11,1)),0)</f>
        <v/>
      </c>
      <c r="N16" s="12">
        <f>SUMIFS(Repairs!$E$5:$E$2000,Repairs!$B$5:$B$2000,A16)</f>
        <v/>
      </c>
    </row>
    <row r="17">
      <c r="A17" s="8">
        <f>"IT-"&amp;TEXT(ROW()-4,"000")</f>
        <v/>
      </c>
      <c r="B17" s="5" t="inlineStr">
        <is>
          <t>Laptop</t>
        </is>
      </c>
      <c r="C17" s="5" t="inlineStr">
        <is>
          <t>Laptop 13 inch 8 GB</t>
        </is>
      </c>
      <c r="D17" s="4" t="n">
        <v>44378</v>
      </c>
      <c r="E17" s="9" t="n">
        <v>45000</v>
      </c>
      <c r="F17" s="5" t="n"/>
      <c r="G17" s="5" t="inlineStr">
        <is>
          <t>Admin</t>
        </is>
      </c>
      <c r="H17" s="5" t="inlineStr">
        <is>
          <t>Retired</t>
        </is>
      </c>
      <c r="I17" s="5" t="n">
        <v>3</v>
      </c>
      <c r="J17" s="10">
        <f>EDATE(D17,12*I17)</f>
        <v/>
      </c>
      <c r="K17" s="8">
        <f>IF(J17&lt;Setup!$B$3,"Expired",IF(J17-Setup!$B$3&lt;=Setup!$B$4,"Ending soon","Active"))</f>
        <v/>
      </c>
      <c r="L17" s="11">
        <f>ROUND((Setup!$B$3-D17)/365,2)</f>
        <v/>
      </c>
      <c r="M17" s="12">
        <f>ROUND(E17*MAX(0,1-L17/_xlfn.XLOOKUP(B17,Setup!$A$7:$A$11,Setup!$B$7:$B$11,1)),0)</f>
        <v/>
      </c>
      <c r="N17" s="12">
        <f>SUMIFS(Repairs!$E$5:$E$2000,Repairs!$B$5:$B$2000,A17)</f>
        <v/>
      </c>
    </row>
    <row r="18">
      <c r="A18" s="8">
        <f>"IT-"&amp;TEXT(ROW()-4,"000")</f>
        <v/>
      </c>
      <c r="B18" s="5" t="inlineStr">
        <is>
          <t>Desktop</t>
        </is>
      </c>
      <c r="C18" s="5" t="inlineStr">
        <is>
          <t>Desktop tower 8 GB</t>
        </is>
      </c>
      <c r="D18" s="4" t="n">
        <v>45698</v>
      </c>
      <c r="E18" s="9" t="n">
        <v>41000</v>
      </c>
      <c r="F18" s="5" t="inlineStr">
        <is>
          <t>Ravina More</t>
        </is>
      </c>
      <c r="G18" s="5" t="inlineStr">
        <is>
          <t>Admin</t>
        </is>
      </c>
      <c r="H18" s="5" t="inlineStr">
        <is>
          <t>In use</t>
        </is>
      </c>
      <c r="I18" s="5" t="n">
        <v>3</v>
      </c>
      <c r="J18" s="10">
        <f>EDATE(D18,12*I18)</f>
        <v/>
      </c>
      <c r="K18" s="8">
        <f>IF(J18&lt;Setup!$B$3,"Expired",IF(J18-Setup!$B$3&lt;=Setup!$B$4,"Ending soon","Active"))</f>
        <v/>
      </c>
      <c r="L18" s="11">
        <f>ROUND((Setup!$B$3-D18)/365,2)</f>
        <v/>
      </c>
      <c r="M18" s="12">
        <f>ROUND(E18*MAX(0,1-L18/_xlfn.XLOOKUP(B18,Setup!$A$7:$A$11,Setup!$B$7:$B$11,1)),0)</f>
        <v/>
      </c>
      <c r="N18" s="12">
        <f>SUMIFS(Repairs!$E$5:$E$2000,Repairs!$B$5:$B$2000,A18)</f>
        <v/>
      </c>
    </row>
  </sheetData>
  <conditionalFormatting sqref="K5:K2000">
    <cfRule type="cellIs" priority="1" operator="equal" dxfId="0">
      <formula>"Ending soon"</formula>
    </cfRule>
  </conditionalFormatting>
  <conditionalFormatting sqref="A5:N2000">
    <cfRule type="expression" priority="2" dxfId="1">
      <formula>$H5="Retired"</formula>
    </cfRule>
  </conditionalFormatting>
  <dataValidations count="3">
    <dataValidation sqref="B5:B2000" showDropDown="0" showInputMessage="0" showErrorMessage="1" allowBlank="1" errorTitle="Not in the list" error="Pick a value from the list" type="list">
      <formula1>=Setup!$A$7:$A$11</formula1>
    </dataValidation>
    <dataValidation sqref="G5:G2000" showDropDown="0" showInputMessage="0" showErrorMessage="1" allowBlank="1" errorTitle="Not in the list" error="Pick a value from the list" type="list">
      <formula1>=Setup!$D$7:$D$10</formula1>
    </dataValidation>
    <dataValidation sqref="H5:H2000" showDropDown="0" showInputMessage="0" showErrorMessage="1" allowBlank="1" errorTitle="Not in the list" error="Pick a value from the list" type="list">
      <formula1>=Setup!$F$7:$F$10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22" customWidth="1" min="3" max="3"/>
    <col width="18" customWidth="1" min="4" max="4"/>
    <col width="10" customWidth="1" min="5" max="5"/>
  </cols>
  <sheetData>
    <row r="1">
      <c r="A1" s="1" t="inlineStr">
        <is>
          <t>Repair log</t>
        </is>
      </c>
    </row>
    <row r="2">
      <c r="A2" s="2" t="inlineStr">
        <is>
          <t>One row per repair or part.</t>
        </is>
      </c>
    </row>
    <row r="4">
      <c r="A4" s="6" t="inlineStr">
        <is>
          <t>Date</t>
        </is>
      </c>
      <c r="B4" s="6" t="inlineStr">
        <is>
          <t>Asset tag</t>
        </is>
      </c>
      <c r="C4" s="6" t="inlineStr">
        <is>
          <t>Description</t>
        </is>
      </c>
      <c r="D4" s="6" t="inlineStr">
        <is>
          <t>Work done</t>
        </is>
      </c>
      <c r="E4" s="6" t="inlineStr">
        <is>
          <t>Cost (₹)</t>
        </is>
      </c>
    </row>
    <row r="5">
      <c r="A5" s="4" t="n">
        <v>46086</v>
      </c>
      <c r="B5" s="5" t="inlineStr">
        <is>
          <t>IT-004</t>
        </is>
      </c>
      <c r="C5" s="8">
        <f>_xlfn.XLOOKUP(B5,Assets!$A$5:$A$2000,Assets!$C$5:$C$2000,"Check tag")</f>
        <v/>
      </c>
      <c r="D5" s="5" t="inlineStr">
        <is>
          <t>Keyboard replaced</t>
        </is>
      </c>
      <c r="E5" s="9" t="n">
        <v>3500</v>
      </c>
    </row>
    <row r="6">
      <c r="A6" s="4" t="n">
        <v>46193</v>
      </c>
      <c r="B6" s="5" t="inlineStr">
        <is>
          <t>IT-007</t>
        </is>
      </c>
      <c r="C6" s="8">
        <f>_xlfn.XLOOKUP(B6,Assets!$A$5:$A$2000,Assets!$C$5:$C$2000,"Check tag")</f>
        <v/>
      </c>
      <c r="D6" s="5" t="inlineStr">
        <is>
          <t>Power supply</t>
        </is>
      </c>
      <c r="E6" s="9" t="n">
        <v>2800</v>
      </c>
    </row>
    <row r="7">
      <c r="A7" s="4" t="n">
        <v>46273</v>
      </c>
      <c r="B7" s="5" t="inlineStr">
        <is>
          <t>IT-009</t>
        </is>
      </c>
      <c r="C7" s="8">
        <f>_xlfn.XLOOKUP(B7,Assets!$A$5:$A$2000,Assets!$C$5:$C$2000,"Check tag")</f>
        <v/>
      </c>
      <c r="D7" s="5" t="inlineStr">
        <is>
          <t>Drum unit</t>
        </is>
      </c>
      <c r="E7" s="9" t="n">
        <v>4200</v>
      </c>
    </row>
    <row r="8">
      <c r="A8" s="4" t="n">
        <v>46305</v>
      </c>
      <c r="B8" s="5" t="inlineStr">
        <is>
          <t>IT-004</t>
        </is>
      </c>
      <c r="C8" s="8">
        <f>_xlfn.XLOOKUP(B8,Assets!$A$5:$A$2000,Assets!$C$5:$C$2000,"Check tag")</f>
        <v/>
      </c>
      <c r="D8" s="5" t="inlineStr">
        <is>
          <t>Screen hinge</t>
        </is>
      </c>
      <c r="E8" s="9" t="n">
        <v>2600</v>
      </c>
    </row>
    <row r="9">
      <c r="A9" s="4" t="n">
        <v>46309</v>
      </c>
      <c r="B9" s="5" t="inlineStr">
        <is>
          <t>IT-012</t>
        </is>
      </c>
      <c r="C9" s="8">
        <f>_xlfn.XLOOKUP(B9,Assets!$A$5:$A$2000,Assets!$C$5:$C$2000,"Check tag")</f>
        <v/>
      </c>
      <c r="D9" s="5" t="inlineStr">
        <is>
          <t>Port replaced</t>
        </is>
      </c>
      <c r="E9" s="9" t="n">
        <v>1800</v>
      </c>
    </row>
  </sheetData>
  <dataValidations count="1">
    <dataValidation sqref="B5:B2000" showDropDown="0" showInputMessage="0" showErrorMessage="1" allowBlank="1" errorTitle="Not in the list" error="Pick a value from the list" type="list">
      <formula1>=Assets!$A$5:$A$2000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12" customWidth="1" min="3" max="3"/>
    <col width="14" customWidth="1" min="4" max="4"/>
    <col width="12" customWidth="1" min="5" max="5"/>
  </cols>
  <sheetData>
    <row r="1">
      <c r="A1" s="1" t="inlineStr">
        <is>
          <t>Report by department and category</t>
        </is>
      </c>
    </row>
    <row r="2">
      <c r="A2" s="2" t="inlineStr">
        <is>
          <t>Retired items are left out of counts and values.</t>
        </is>
      </c>
    </row>
    <row r="4">
      <c r="A4" s="6" t="inlineStr">
        <is>
          <t>Department</t>
        </is>
      </c>
      <c r="B4" s="6" t="inlineStr">
        <is>
          <t>Items</t>
        </is>
      </c>
      <c r="C4" s="6" t="inlineStr">
        <is>
          <t>Cost (₹)</t>
        </is>
      </c>
      <c r="D4" s="6" t="inlineStr">
        <is>
          <t>Book value (₹)</t>
        </is>
      </c>
      <c r="E4" s="6" t="inlineStr">
        <is>
          <t>Repairs (₹)</t>
        </is>
      </c>
    </row>
    <row r="5">
      <c r="A5" s="8">
        <f>Setup!D7</f>
        <v/>
      </c>
      <c r="B5" s="8">
        <f>COUNTIFS(Assets!$G$5:$G$2000,A5,Assets!$H$5:$H$2000,"&lt;&gt;Retired")</f>
        <v/>
      </c>
      <c r="C5" s="12">
        <f>SUMIFS(Assets!$E$5:$E$2000,Assets!$G$5:$G$2000,A5,Assets!$H$5:$H$2000,"&lt;&gt;Retired")</f>
        <v/>
      </c>
      <c r="D5" s="12">
        <f>SUMIFS(Assets!$M$5:$M$2000,Assets!$G$5:$G$2000,A5,Assets!$H$5:$H$2000,"&lt;&gt;Retired")</f>
        <v/>
      </c>
      <c r="E5" s="12">
        <f>SUMIFS(Assets!$N$5:$N$2000,Assets!$G$5:$G$2000,A5,Assets!$H$5:$H$2000,"&lt;&gt;Retired")</f>
        <v/>
      </c>
    </row>
    <row r="6">
      <c r="A6" s="8">
        <f>Setup!D8</f>
        <v/>
      </c>
      <c r="B6" s="8">
        <f>COUNTIFS(Assets!$G$5:$G$2000,A6,Assets!$H$5:$H$2000,"&lt;&gt;Retired")</f>
        <v/>
      </c>
      <c r="C6" s="12">
        <f>SUMIFS(Assets!$E$5:$E$2000,Assets!$G$5:$G$2000,A6,Assets!$H$5:$H$2000,"&lt;&gt;Retired")</f>
        <v/>
      </c>
      <c r="D6" s="12">
        <f>SUMIFS(Assets!$M$5:$M$2000,Assets!$G$5:$G$2000,A6,Assets!$H$5:$H$2000,"&lt;&gt;Retired")</f>
        <v/>
      </c>
      <c r="E6" s="12">
        <f>SUMIFS(Assets!$N$5:$N$2000,Assets!$G$5:$G$2000,A6,Assets!$H$5:$H$2000,"&lt;&gt;Retired")</f>
        <v/>
      </c>
    </row>
    <row r="7">
      <c r="A7" s="8">
        <f>Setup!D9</f>
        <v/>
      </c>
      <c r="B7" s="8">
        <f>COUNTIFS(Assets!$G$5:$G$2000,A7,Assets!$H$5:$H$2000,"&lt;&gt;Retired")</f>
        <v/>
      </c>
      <c r="C7" s="12">
        <f>SUMIFS(Assets!$E$5:$E$2000,Assets!$G$5:$G$2000,A7,Assets!$H$5:$H$2000,"&lt;&gt;Retired")</f>
        <v/>
      </c>
      <c r="D7" s="12">
        <f>SUMIFS(Assets!$M$5:$M$2000,Assets!$G$5:$G$2000,A7,Assets!$H$5:$H$2000,"&lt;&gt;Retired")</f>
        <v/>
      </c>
      <c r="E7" s="12">
        <f>SUMIFS(Assets!$N$5:$N$2000,Assets!$G$5:$G$2000,A7,Assets!$H$5:$H$2000,"&lt;&gt;Retired")</f>
        <v/>
      </c>
    </row>
    <row r="8">
      <c r="A8" s="8">
        <f>Setup!D10</f>
        <v/>
      </c>
      <c r="B8" s="8">
        <f>COUNTIFS(Assets!$G$5:$G$2000,A8,Assets!$H$5:$H$2000,"&lt;&gt;Retired")</f>
        <v/>
      </c>
      <c r="C8" s="12">
        <f>SUMIFS(Assets!$E$5:$E$2000,Assets!$G$5:$G$2000,A8,Assets!$H$5:$H$2000,"&lt;&gt;Retired")</f>
        <v/>
      </c>
      <c r="D8" s="12">
        <f>SUMIFS(Assets!$M$5:$M$2000,Assets!$G$5:$G$2000,A8,Assets!$H$5:$H$2000,"&lt;&gt;Retired")</f>
        <v/>
      </c>
      <c r="E8" s="12">
        <f>SUMIFS(Assets!$N$5:$N$2000,Assets!$G$5:$G$2000,A8,Assets!$H$5:$H$2000,"&lt;&gt;Retired")</f>
        <v/>
      </c>
    </row>
    <row r="11">
      <c r="A11" s="6" t="inlineStr">
        <is>
          <t>Category</t>
        </is>
      </c>
      <c r="B11" s="6" t="inlineStr">
        <is>
          <t>Items</t>
        </is>
      </c>
      <c r="C11" s="6" t="inlineStr">
        <is>
          <t>In stock</t>
        </is>
      </c>
      <c r="D11" s="6" t="inlineStr">
        <is>
          <t>Warranty ending soon</t>
        </is>
      </c>
      <c r="E11" s="6" t="inlineStr">
        <is>
          <t>Past useful life</t>
        </is>
      </c>
    </row>
    <row r="12">
      <c r="A12" s="8">
        <f>Setup!A7</f>
        <v/>
      </c>
      <c r="B12" s="8">
        <f>COUNTIFS(Assets!$B$5:$B$2000,A12,Assets!$H$5:$H$2000,"&lt;&gt;Retired")</f>
        <v/>
      </c>
      <c r="C12" s="8">
        <f>COUNTIFS(Assets!$B$5:$B$2000,A12,Assets!$H$5:$H$2000,"In stock")</f>
        <v/>
      </c>
      <c r="D12" s="8">
        <f>COUNTIFS(Assets!$B$5:$B$2000,A12,Assets!$K$5:$K$2000,"Ending soon",Assets!$H$5:$H$2000,"&lt;&gt;Retired")</f>
        <v/>
      </c>
      <c r="E12" s="8">
        <f>COUNTIFS(Assets!$B$5:$B$2000,A12,Assets!$M$5:$M$2000,0,Assets!$H$5:$H$2000,"&lt;&gt;Retired")</f>
        <v/>
      </c>
    </row>
    <row r="13">
      <c r="A13" s="8">
        <f>Setup!A8</f>
        <v/>
      </c>
      <c r="B13" s="8">
        <f>COUNTIFS(Assets!$B$5:$B$2000,A13,Assets!$H$5:$H$2000,"&lt;&gt;Retired")</f>
        <v/>
      </c>
      <c r="C13" s="8">
        <f>COUNTIFS(Assets!$B$5:$B$2000,A13,Assets!$H$5:$H$2000,"In stock")</f>
        <v/>
      </c>
      <c r="D13" s="8">
        <f>COUNTIFS(Assets!$B$5:$B$2000,A13,Assets!$K$5:$K$2000,"Ending soon",Assets!$H$5:$H$2000,"&lt;&gt;Retired")</f>
        <v/>
      </c>
      <c r="E13" s="8">
        <f>COUNTIFS(Assets!$B$5:$B$2000,A13,Assets!$M$5:$M$2000,0,Assets!$H$5:$H$2000,"&lt;&gt;Retired")</f>
        <v/>
      </c>
    </row>
    <row r="14">
      <c r="A14" s="8">
        <f>Setup!A9</f>
        <v/>
      </c>
      <c r="B14" s="8">
        <f>COUNTIFS(Assets!$B$5:$B$2000,A14,Assets!$H$5:$H$2000,"&lt;&gt;Retired")</f>
        <v/>
      </c>
      <c r="C14" s="8">
        <f>COUNTIFS(Assets!$B$5:$B$2000,A14,Assets!$H$5:$H$2000,"In stock")</f>
        <v/>
      </c>
      <c r="D14" s="8">
        <f>COUNTIFS(Assets!$B$5:$B$2000,A14,Assets!$K$5:$K$2000,"Ending soon",Assets!$H$5:$H$2000,"&lt;&gt;Retired")</f>
        <v/>
      </c>
      <c r="E14" s="8">
        <f>COUNTIFS(Assets!$B$5:$B$2000,A14,Assets!$M$5:$M$2000,0,Assets!$H$5:$H$2000,"&lt;&gt;Retired")</f>
        <v/>
      </c>
    </row>
    <row r="15">
      <c r="A15" s="8">
        <f>Setup!A10</f>
        <v/>
      </c>
      <c r="B15" s="8">
        <f>COUNTIFS(Assets!$B$5:$B$2000,A15,Assets!$H$5:$H$2000,"&lt;&gt;Retired")</f>
        <v/>
      </c>
      <c r="C15" s="8">
        <f>COUNTIFS(Assets!$B$5:$B$2000,A15,Assets!$H$5:$H$2000,"In stock")</f>
        <v/>
      </c>
      <c r="D15" s="8">
        <f>COUNTIFS(Assets!$B$5:$B$2000,A15,Assets!$K$5:$K$2000,"Ending soon",Assets!$H$5:$H$2000,"&lt;&gt;Retired")</f>
        <v/>
      </c>
      <c r="E15" s="8">
        <f>COUNTIFS(Assets!$B$5:$B$2000,A15,Assets!$M$5:$M$2000,0,Assets!$H$5:$H$2000,"&lt;&gt;Retired")</f>
        <v/>
      </c>
    </row>
    <row r="16">
      <c r="A16" s="8">
        <f>Setup!A11</f>
        <v/>
      </c>
      <c r="B16" s="8">
        <f>COUNTIFS(Assets!$B$5:$B$2000,A16,Assets!$H$5:$H$2000,"&lt;&gt;Retired")</f>
        <v/>
      </c>
      <c r="C16" s="8">
        <f>COUNTIFS(Assets!$B$5:$B$2000,A16,Assets!$H$5:$H$2000,"In stock")</f>
        <v/>
      </c>
      <c r="D16" s="8">
        <f>COUNTIFS(Assets!$B$5:$B$2000,A16,Assets!$K$5:$K$2000,"Ending soon",Assets!$H$5:$H$2000,"&lt;&gt;Retired")</f>
        <v/>
      </c>
      <c r="E16" s="8">
        <f>COUNTIFS(Assets!$B$5:$B$2000,A16,Assets!$M$5:$M$2000,0,Assets!$H$5:$H$2000,"&lt;&gt;Retired")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</cols>
  <sheetData>
    <row r="1">
      <c r="A1" s="1" t="inlineStr">
        <is>
          <t>Printable asset card</t>
        </is>
      </c>
    </row>
    <row r="2">
      <c r="A2" s="2" t="inlineStr">
        <is>
          <t>Type an asset tag in B4. Print A1:B15 and keep it with the item or the handover form.</t>
        </is>
      </c>
    </row>
    <row r="3">
      <c r="A3" s="3" t="inlineStr">
        <is>
          <t>Bagale Tech, Pune</t>
        </is>
      </c>
    </row>
    <row r="4">
      <c r="A4" s="3" t="inlineStr">
        <is>
          <t>Asset tag</t>
        </is>
      </c>
      <c r="B4" s="5" t="inlineStr">
        <is>
          <t>IT-004</t>
        </is>
      </c>
    </row>
    <row r="6">
      <c r="A6" s="3" t="inlineStr">
        <is>
          <t>Category</t>
        </is>
      </c>
      <c r="B6" s="8">
        <f>_xlfn.XLOOKUP($B$4,Assets!$A$5:$A$2000,Assets!$B$5:$B$2000,"Not found")</f>
        <v/>
      </c>
    </row>
    <row r="7">
      <c r="A7" s="3" t="inlineStr">
        <is>
          <t>Description</t>
        </is>
      </c>
      <c r="B7" s="8">
        <f>_xlfn.XLOOKUP($B$4,Assets!$A$5:$A$2000,Assets!$C$5:$C$2000,"Not found")</f>
        <v/>
      </c>
    </row>
    <row r="8">
      <c r="A8" s="3" t="inlineStr">
        <is>
          <t>Cost (₹)</t>
        </is>
      </c>
      <c r="B8" s="12">
        <f>_xlfn.XLOOKUP($B$4,Assets!$A$5:$A$2000,Assets!$E$5:$E$2000,"Not found")</f>
        <v/>
      </c>
    </row>
    <row r="9">
      <c r="A9" s="3" t="inlineStr">
        <is>
          <t>Assigned to</t>
        </is>
      </c>
      <c r="B9" s="8">
        <f>_xlfn.XLOOKUP($B$4,Assets!$A$5:$A$2000,Assets!$F$5:$F$2000,"Not found")</f>
        <v/>
      </c>
    </row>
    <row r="10">
      <c r="A10" s="3" t="inlineStr">
        <is>
          <t>Department</t>
        </is>
      </c>
      <c r="B10" s="8">
        <f>_xlfn.XLOOKUP($B$4,Assets!$A$5:$A$2000,Assets!$G$5:$G$2000,"Not found")</f>
        <v/>
      </c>
    </row>
    <row r="11">
      <c r="A11" s="3" t="inlineStr">
        <is>
          <t>Status</t>
        </is>
      </c>
      <c r="B11" s="8">
        <f>_xlfn.XLOOKUP($B$4,Assets!$A$5:$A$2000,Assets!$H$5:$H$2000,"Not found")</f>
        <v/>
      </c>
    </row>
    <row r="12">
      <c r="A12" s="3" t="inlineStr">
        <is>
          <t>Warranty ends</t>
        </is>
      </c>
      <c r="B12" s="10">
        <f>_xlfn.XLOOKUP($B$4,Assets!$A$5:$A$2000,Assets!$J$5:$J$2000,"Not found")</f>
        <v/>
      </c>
    </row>
    <row r="13">
      <c r="A13" s="3" t="inlineStr">
        <is>
          <t>Book value (₹)</t>
        </is>
      </c>
      <c r="B13" s="12">
        <f>_xlfn.XLOOKUP($B$4,Assets!$A$5:$A$2000,Assets!$M$5:$M$2000,"Not found")</f>
        <v/>
      </c>
    </row>
    <row r="14">
      <c r="A14" s="3" t="inlineStr">
        <is>
          <t>Repairs (₹)</t>
        </is>
      </c>
      <c r="B14" s="12">
        <f>_xlfn.XLOOKUP($B$4,Assets!$A$5:$A$2000,Assets!$N$5:$N$2000,"Not found")</f>
        <v/>
      </c>
    </row>
    <row r="15">
      <c r="A15" t="inlineStr">
        <is>
          <t>Received in good condition: ____________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IT assets dashboard: 17 October 2026</t>
        </is>
      </c>
    </row>
    <row r="2">
      <c r="A2" s="2" t="inlineStr">
        <is>
          <t>Formulas over Assets and Report.</t>
        </is>
      </c>
    </row>
    <row r="4" ht="32" customHeight="1">
      <c r="A4" s="6" t="inlineStr">
        <is>
          <t>Items in use or stock</t>
        </is>
      </c>
      <c r="B4" s="6" t="inlineStr">
        <is>
          <t>Cost</t>
        </is>
      </c>
      <c r="C4" s="6" t="inlineStr">
        <is>
          <t>Book value</t>
        </is>
      </c>
      <c r="D4" s="6" t="inlineStr">
        <is>
          <t>Repairs this year</t>
        </is>
      </c>
      <c r="E4" s="6" t="inlineStr">
        <is>
          <t>Warranty ending soon</t>
        </is>
      </c>
      <c r="F4" s="6" t="inlineStr">
        <is>
          <t>Past useful life</t>
        </is>
      </c>
    </row>
    <row r="5" ht="30" customHeight="1">
      <c r="A5" s="13">
        <f>COUNTIFS(Assets!$H$5:$H$2000,"&lt;&gt;Retired",Assets!$A$5:$A$2000,"&lt;&gt;")</f>
        <v/>
      </c>
      <c r="B5" s="14">
        <f>SUM(Report!C5:C8)</f>
        <v/>
      </c>
      <c r="C5" s="14">
        <f>SUM(Report!D5:D8)</f>
        <v/>
      </c>
      <c r="D5" s="14">
        <f>SUM(Repairs!E5:E2000)</f>
        <v/>
      </c>
      <c r="E5" s="13">
        <f>SUM(Report!D12:D16)</f>
        <v/>
      </c>
      <c r="F5" s="13">
        <f>SUM(Report!E12:E16)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