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Bookings" sheetId="3" state="visible" r:id="rId3"/>
    <sheet xmlns:r="http://schemas.openxmlformats.org/officeDocument/2006/relationships" name="Occupancy" sheetId="4" state="visible" r:id="rId4"/>
    <sheet xmlns:r="http://schemas.openxmlformats.org/officeDocument/2006/relationships" name="Room bill" sheetId="5" state="visible" r:id="rId5"/>
    <sheet xmlns:r="http://schemas.openxmlformats.org/officeDocument/2006/relationships" name="Report" sheetId="6" state="visible" r:id="rId6"/>
    <sheet xmlns:r="http://schemas.openxmlformats.org/officeDocument/2006/relationships" name="Dashboard" sheetId="7" state="visible" r:id="rId7"/>
  </sheets>
  <definedNames>
    <definedName name="_xlnm.Print_Area" localSheetId="4">'Room bill'!$A$1:$D$22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 h:mm:ss"/>
    <numFmt numFmtId="165" formatCode="DD-MM-YYYY"/>
    <numFmt numFmtId="166" formatCode="[$₹-4009]#,##,##0;[Red]-[$₹-4009]#,##,##0"/>
    <numFmt numFmtId="167" formatCode="0.0%"/>
    <numFmt numFmtId="168" formatCode="[$₹-4009]#,##,##0.00"/>
  </numFmts>
  <fonts count="5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  <font>
      <b val="1"/>
      <color rgb="000B1F33"/>
      <sz val="16"/>
    </font>
  </fonts>
  <fills count="6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5" fontId="0" fillId="2" borderId="1" pivotButton="0" quotePrefix="0" xfId="0"/>
    <xf numFmtId="0" fontId="0" fillId="2" borderId="1" pivotButton="0" quotePrefix="0" xfId="0"/>
    <xf numFmtId="166" fontId="0" fillId="2" borderId="1" pivotButton="0" quotePrefix="0" xfId="0"/>
    <xf numFmtId="167" fontId="0" fillId="2" borderId="1" pivotButton="0" quotePrefix="0" xfId="0"/>
    <xf numFmtId="0" fontId="3" fillId="3" borderId="1" applyAlignment="1" pivotButton="0" quotePrefix="0" xfId="0">
      <alignment vertical="top" wrapText="1"/>
    </xf>
    <xf numFmtId="0" fontId="3" fillId="3" borderId="1" pivotButton="0" quotePrefix="0" xfId="0"/>
    <xf numFmtId="0" fontId="0" fillId="4" borderId="1" pivotButton="0" quotePrefix="0" xfId="0"/>
    <xf numFmtId="166" fontId="0" fillId="4" borderId="1" pivotButton="0" quotePrefix="0" xfId="0"/>
    <xf numFmtId="9" fontId="0" fillId="4" borderId="1" pivotButton="0" quotePrefix="0" xfId="0"/>
    <xf numFmtId="168" fontId="0" fillId="4" borderId="1" pivotButton="0" quotePrefix="0" xfId="0"/>
    <xf numFmtId="165" fontId="0" fillId="4" borderId="1" pivotButton="0" quotePrefix="0" xfId="0"/>
    <xf numFmtId="167" fontId="0" fillId="4" borderId="1" pivotButton="0" quotePrefix="0" xfId="0"/>
    <xf numFmtId="0" fontId="3" fillId="5" borderId="1" pivotButton="0" quotePrefix="0" xfId="0"/>
    <xf numFmtId="167" fontId="3" fillId="5" borderId="1" pivotButton="0" quotePrefix="0" xfId="0"/>
    <xf numFmtId="166" fontId="3" fillId="5" borderId="1" pivotButton="0" quotePrefix="0" xfId="0"/>
    <xf numFmtId="168" fontId="3" fillId="5" borderId="1" pivotButton="0" quotePrefix="0" xfId="0"/>
    <xf numFmtId="168" fontId="4" fillId="5" borderId="1" pivotButton="0" quotePrefix="0" xfId="0"/>
    <xf numFmtId="167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  <xf numFmtId="0" fontId="4" fillId="4" borderId="1" applyAlignment="1" pivotButton="0" quotePrefix="0" xfId="0">
      <alignment horizontal="center"/>
    </xf>
  </cellXfs>
  <cellStyles count="1">
    <cellStyle name="Normal" xfId="0" builtinId="0" hidden="0"/>
  </cellStyles>
  <dxfs count="3">
    <dxf>
      <fill>
        <patternFill patternType="solid">
          <fgColor rgb="00C6EFCE"/>
        </patternFill>
      </fill>
    </dxf>
    <dxf>
      <fill>
        <patternFill patternType="solid">
          <fgColor rgb="00FFE8B3"/>
        </patternFill>
      </fill>
    </dxf>
    <dxf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Daily occupancy %</a:t>
            </a:r>
          </a:p>
        </rich>
      </tx>
    </title>
    <plotArea>
      <lineChart>
        <grouping val="standard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'Occupancy'!$A$6:$A$22</f>
            </numRef>
          </cat>
          <val>
            <numRef>
              <f>'Occupancy'!$C$6:$C$22</f>
            </numRef>
          </val>
        </ser>
        <axId val="10"/>
        <axId val="100"/>
      </line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Room revenue by type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'Report'!$A$5:$A$7</f>
            </numRef>
          </cat>
          <val>
            <numRef>
              <f>'Report'!$D$5:$D$7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7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24</row>
      <rowOff>0</rowOff>
    </from>
    <ext cx="43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Hotel management system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Business Management Systems. By Ravindra Bagale.</t>
        </is>
      </c>
    </row>
    <row r="6">
      <c r="A6" t="inlineStr"/>
    </row>
    <row r="7">
      <c r="A7" t="inlineStr">
        <is>
          <t>Sheets: Setup (rooms, rates, GST rule, lists), Bookings, Occupancy (daily rooms sold, ADR, RevPAR), Room bill (printable), Report, Dashboard.</t>
        </is>
      </c>
    </row>
    <row r="8">
      <c r="A8" t="inlineStr">
        <is>
          <t>Before saving a booking, check that the room is free: Occupancy shows rooms sold per night, and a double booking makes that night exceed the rooms available.</t>
        </is>
      </c>
    </row>
    <row r="9">
      <c r="A9" t="inlineStr">
        <is>
          <t>GST on rooms follows the value per night: 5% without input tax credit up to ₹7,500, 18% above. Confirm current rates with your accountant.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15" customWidth="1" min="3" max="3"/>
    <col width="11" customWidth="1" min="5" max="5"/>
    <col width="14" customWidth="1" min="6" max="6"/>
  </cols>
  <sheetData>
    <row r="1">
      <c r="A1" s="1" t="inlineStr">
        <is>
          <t>Hotel Management System: Setup (Raja Residency, Sambhaji Nagar)</t>
        </is>
      </c>
    </row>
    <row r="2">
      <c r="A2" s="2" t="inlineStr">
        <is>
          <t>Made-up rooms, rates and guests. GST on rooms: 5% (no input tax credit) up to ₹7,500 per night, 18% above (rates since 22 Sep 2025); confirm with your accountant.</t>
        </is>
      </c>
    </row>
    <row r="3">
      <c r="A3" s="3" t="inlineStr">
        <is>
          <t>As-of date</t>
        </is>
      </c>
      <c r="B3" s="4" t="n">
        <v>46312</v>
      </c>
      <c r="C3" s="2" t="inlineStr">
        <is>
          <t>Type =TODAY() to make it live.</t>
        </is>
      </c>
    </row>
    <row r="4">
      <c r="A4" s="3" t="inlineStr">
        <is>
          <t>Hotel</t>
        </is>
      </c>
      <c r="B4" s="5" t="inlineStr">
        <is>
          <t>Raja Residency, Sambhaji Nagar</t>
        </is>
      </c>
    </row>
    <row r="5">
      <c r="A5" s="3" t="inlineStr">
        <is>
          <t>GST threshold per night (₹)</t>
        </is>
      </c>
      <c r="B5" s="6" t="n">
        <v>7500</v>
      </c>
    </row>
    <row r="6">
      <c r="A6" s="3" t="inlineStr">
        <is>
          <t>GST up to threshold</t>
        </is>
      </c>
      <c r="B6" s="7" t="n">
        <v>0.05</v>
      </c>
    </row>
    <row r="7">
      <c r="A7" s="3" t="inlineStr">
        <is>
          <t>GST above threshold</t>
        </is>
      </c>
      <c r="B7" s="7" t="n">
        <v>0.18</v>
      </c>
    </row>
    <row r="8">
      <c r="A8" s="3" t="inlineStr">
        <is>
          <t>Report from</t>
        </is>
      </c>
      <c r="B8" s="4" t="n">
        <v>46296</v>
      </c>
    </row>
    <row r="10">
      <c r="A10" s="8" t="inlineStr">
        <is>
          <t>Room</t>
        </is>
      </c>
      <c r="B10" s="8" t="inlineStr">
        <is>
          <t>Type</t>
        </is>
      </c>
      <c r="C10" s="8" t="inlineStr">
        <is>
          <t>Rate per night (₹)</t>
        </is>
      </c>
      <c r="E10" s="9" t="inlineStr">
        <is>
          <t>Room types</t>
        </is>
      </c>
      <c r="F10" s="9" t="inlineStr">
        <is>
          <t>Booking source</t>
        </is>
      </c>
    </row>
    <row r="11">
      <c r="A11" s="5" t="n">
        <v>101</v>
      </c>
      <c r="B11" s="5" t="inlineStr">
        <is>
          <t>Standard</t>
        </is>
      </c>
      <c r="C11" s="6" t="n">
        <v>2800</v>
      </c>
      <c r="E11" s="5" t="inlineStr">
        <is>
          <t>Standard</t>
        </is>
      </c>
      <c r="F11" s="5" t="inlineStr">
        <is>
          <t>Walk-in</t>
        </is>
      </c>
    </row>
    <row r="12">
      <c r="A12" s="5" t="n">
        <v>102</v>
      </c>
      <c r="B12" s="5" t="inlineStr">
        <is>
          <t>Standard</t>
        </is>
      </c>
      <c r="C12" s="6" t="n">
        <v>2800</v>
      </c>
      <c r="E12" s="5" t="inlineStr">
        <is>
          <t>Deluxe</t>
        </is>
      </c>
      <c r="F12" s="5" t="inlineStr">
        <is>
          <t>Online agent</t>
        </is>
      </c>
    </row>
    <row r="13">
      <c r="A13" s="5" t="n">
        <v>103</v>
      </c>
      <c r="B13" s="5" t="inlineStr">
        <is>
          <t>Standard</t>
        </is>
      </c>
      <c r="C13" s="6" t="n">
        <v>2800</v>
      </c>
      <c r="E13" s="5" t="inlineStr">
        <is>
          <t>Suite</t>
        </is>
      </c>
      <c r="F13" s="5" t="inlineStr">
        <is>
          <t>Phone</t>
        </is>
      </c>
    </row>
    <row r="14">
      <c r="A14" s="5" t="n">
        <v>104</v>
      </c>
      <c r="B14" s="5" t="inlineStr">
        <is>
          <t>Standard</t>
        </is>
      </c>
      <c r="C14" s="6" t="n">
        <v>2800</v>
      </c>
    </row>
    <row r="15">
      <c r="A15" s="5" t="n">
        <v>201</v>
      </c>
      <c r="B15" s="5" t="inlineStr">
        <is>
          <t>Deluxe</t>
        </is>
      </c>
      <c r="C15" s="6" t="n">
        <v>4500</v>
      </c>
    </row>
    <row r="16">
      <c r="A16" s="5" t="n">
        <v>202</v>
      </c>
      <c r="B16" s="5" t="inlineStr">
        <is>
          <t>Deluxe</t>
        </is>
      </c>
      <c r="C16" s="6" t="n">
        <v>4500</v>
      </c>
    </row>
    <row r="17">
      <c r="A17" s="5" t="n">
        <v>203</v>
      </c>
      <c r="B17" s="5" t="inlineStr">
        <is>
          <t>Deluxe</t>
        </is>
      </c>
      <c r="C17" s="6" t="n">
        <v>4500</v>
      </c>
    </row>
    <row r="18">
      <c r="A18" s="5" t="n">
        <v>301</v>
      </c>
      <c r="B18" s="5" t="inlineStr">
        <is>
          <t>Suite</t>
        </is>
      </c>
      <c r="C18" s="6" t="n">
        <v>8500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31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6" customWidth="1" min="4" max="4"/>
    <col width="9" customWidth="1" min="5" max="5"/>
    <col width="9" customWidth="1" min="6" max="6"/>
    <col width="11" customWidth="1" min="7" max="7"/>
    <col width="11" customWidth="1" min="8" max="8"/>
    <col width="6" customWidth="1" min="9" max="9"/>
    <col width="12" customWidth="1" min="10" max="10"/>
    <col width="7" customWidth="1" min="11" max="11"/>
    <col width="10" customWidth="1" min="12" max="12"/>
    <col width="9" customWidth="1" min="13" max="13"/>
    <col width="11" customWidth="1" min="14" max="14"/>
    <col width="10" customWidth="1" min="15" max="15"/>
    <col width="11" customWidth="1" min="16" max="16"/>
    <col width="11" customWidth="1" min="17" max="17"/>
  </cols>
  <sheetData>
    <row r="1">
      <c r="A1" s="1" t="inlineStr">
        <is>
          <t>Bookings (one row per stay)</t>
        </is>
      </c>
    </row>
    <row r="2">
      <c r="A2" s="2" t="inlineStr">
        <is>
          <t>Check-out is the morning the guest leaves, so nights = check-out minus check-in. Extras are typed including tax.</t>
        </is>
      </c>
    </row>
    <row r="4">
      <c r="A4" s="8" t="inlineStr">
        <is>
          <t>Booking</t>
        </is>
      </c>
      <c r="B4" s="8" t="inlineStr">
        <is>
          <t>Guest</t>
        </is>
      </c>
      <c r="C4" s="8" t="inlineStr">
        <is>
          <t>Source</t>
        </is>
      </c>
      <c r="D4" s="8" t="inlineStr">
        <is>
          <t>Room</t>
        </is>
      </c>
      <c r="E4" s="8" t="inlineStr">
        <is>
          <t>Type</t>
        </is>
      </c>
      <c r="F4" s="8" t="inlineStr">
        <is>
          <t>Rate (₹)</t>
        </is>
      </c>
      <c r="G4" s="8" t="inlineStr">
        <is>
          <t>Check-in</t>
        </is>
      </c>
      <c r="H4" s="8" t="inlineStr">
        <is>
          <t>Check-out</t>
        </is>
      </c>
      <c r="I4" s="8" t="inlineStr">
        <is>
          <t>Nights</t>
        </is>
      </c>
      <c r="J4" s="8" t="inlineStr">
        <is>
          <t>Room amount (₹)</t>
        </is>
      </c>
      <c r="K4" s="8" t="inlineStr">
        <is>
          <t>GST rate</t>
        </is>
      </c>
      <c r="L4" s="8" t="inlineStr">
        <is>
          <t>GST (₹)</t>
        </is>
      </c>
      <c r="M4" s="8" t="inlineStr">
        <is>
          <t>Extras (₹)</t>
        </is>
      </c>
      <c r="N4" s="8" t="inlineStr">
        <is>
          <t>Total (₹)</t>
        </is>
      </c>
      <c r="O4" s="8" t="inlineStr">
        <is>
          <t>Advance (₹)</t>
        </is>
      </c>
      <c r="P4" s="8" t="inlineStr">
        <is>
          <t>Balance (₹)</t>
        </is>
      </c>
      <c r="Q4" s="8" t="inlineStr">
        <is>
          <t>Status</t>
        </is>
      </c>
    </row>
    <row r="5">
      <c r="A5" s="5" t="inlineStr">
        <is>
          <t>H-301</t>
        </is>
      </c>
      <c r="B5" s="5" t="inlineStr">
        <is>
          <t>Ravindra Bagale</t>
        </is>
      </c>
      <c r="C5" s="5" t="inlineStr">
        <is>
          <t>Walk-in</t>
        </is>
      </c>
      <c r="D5" s="5" t="n">
        <v>101</v>
      </c>
      <c r="E5" s="10">
        <f>_xlfn.XLOOKUP(D5,Setup!$A$11:$A$18,Setup!$B$11:$B$18,"Check room")</f>
        <v/>
      </c>
      <c r="F5" s="11">
        <f>_xlfn.XLOOKUP(D5,Setup!$A$11:$A$18,Setup!$C$11:$C$18,0)</f>
        <v/>
      </c>
      <c r="G5" s="4" t="n">
        <v>46296</v>
      </c>
      <c r="H5" s="4" t="n">
        <v>46298</v>
      </c>
      <c r="I5" s="10">
        <f>H5-G5</f>
        <v/>
      </c>
      <c r="J5" s="11">
        <f>I5*F5</f>
        <v/>
      </c>
      <c r="K5" s="12">
        <f>IF(F5&lt;=Setup!$B$5,Setup!$B$6,Setup!$B$7)</f>
        <v/>
      </c>
      <c r="L5" s="13">
        <f>ROUND(J5*K5,2)</f>
        <v/>
      </c>
      <c r="M5" s="6" t="n">
        <v>0</v>
      </c>
      <c r="N5" s="13">
        <f>J5+L5+M5</f>
        <v/>
      </c>
      <c r="O5" s="6" t="n">
        <v>2000</v>
      </c>
      <c r="P5" s="13">
        <f>N5-O5</f>
        <v/>
      </c>
      <c r="Q5" s="10">
        <f>IF(H5&lt;=Setup!$B$3,"Checked out",IF(G5&lt;=Setup!$B$3,"In house","Upcoming"))</f>
        <v/>
      </c>
    </row>
    <row r="6">
      <c r="A6" s="5" t="inlineStr">
        <is>
          <t>H-302</t>
        </is>
      </c>
      <c r="B6" s="5" t="inlineStr">
        <is>
          <t>Shraddha Bagale</t>
        </is>
      </c>
      <c r="C6" s="5" t="inlineStr">
        <is>
          <t>Online agent</t>
        </is>
      </c>
      <c r="D6" s="5" t="n">
        <v>101</v>
      </c>
      <c r="E6" s="10">
        <f>_xlfn.XLOOKUP(D6,Setup!$A$11:$A$18,Setup!$B$11:$B$18,"Check room")</f>
        <v/>
      </c>
      <c r="F6" s="11">
        <f>_xlfn.XLOOKUP(D6,Setup!$A$11:$A$18,Setup!$C$11:$C$18,0)</f>
        <v/>
      </c>
      <c r="G6" s="4" t="n">
        <v>46299</v>
      </c>
      <c r="H6" s="4" t="n">
        <v>46302</v>
      </c>
      <c r="I6" s="10">
        <f>H6-G6</f>
        <v/>
      </c>
      <c r="J6" s="11">
        <f>I6*F6</f>
        <v/>
      </c>
      <c r="K6" s="12">
        <f>IF(F6&lt;=Setup!$B$5,Setup!$B$6,Setup!$B$7)</f>
        <v/>
      </c>
      <c r="L6" s="13">
        <f>ROUND(J6*K6,2)</f>
        <v/>
      </c>
      <c r="M6" s="6" t="n">
        <v>450</v>
      </c>
      <c r="N6" s="13">
        <f>J6+L6+M6</f>
        <v/>
      </c>
      <c r="O6" s="6" t="n">
        <v>0</v>
      </c>
      <c r="P6" s="13">
        <f>N6-O6</f>
        <v/>
      </c>
      <c r="Q6" s="10">
        <f>IF(H6&lt;=Setup!$B$3,"Checked out",IF(G6&lt;=Setup!$B$3,"In house","Upcoming"))</f>
        <v/>
      </c>
    </row>
    <row r="7">
      <c r="A7" s="5" t="inlineStr">
        <is>
          <t>H-303</t>
        </is>
      </c>
      <c r="B7" s="5" t="inlineStr">
        <is>
          <t>Shahrukh</t>
        </is>
      </c>
      <c r="C7" s="5" t="inlineStr">
        <is>
          <t>Phone</t>
        </is>
      </c>
      <c r="D7" s="5" t="n">
        <v>101</v>
      </c>
      <c r="E7" s="10">
        <f>_xlfn.XLOOKUP(D7,Setup!$A$11:$A$18,Setup!$B$11:$B$18,"Check room")</f>
        <v/>
      </c>
      <c r="F7" s="11">
        <f>_xlfn.XLOOKUP(D7,Setup!$A$11:$A$18,Setup!$C$11:$C$18,0)</f>
        <v/>
      </c>
      <c r="G7" s="4" t="n">
        <v>46304</v>
      </c>
      <c r="H7" s="4" t="n">
        <v>46307</v>
      </c>
      <c r="I7" s="10">
        <f>H7-G7</f>
        <v/>
      </c>
      <c r="J7" s="11">
        <f>I7*F7</f>
        <v/>
      </c>
      <c r="K7" s="12">
        <f>IF(F7&lt;=Setup!$B$5,Setup!$B$6,Setup!$B$7)</f>
        <v/>
      </c>
      <c r="L7" s="13">
        <f>ROUND(J7*K7,2)</f>
        <v/>
      </c>
      <c r="M7" s="6" t="n">
        <v>1200</v>
      </c>
      <c r="N7" s="13">
        <f>J7+L7+M7</f>
        <v/>
      </c>
      <c r="O7" s="6" t="n">
        <v>5000</v>
      </c>
      <c r="P7" s="13">
        <f>N7-O7</f>
        <v/>
      </c>
      <c r="Q7" s="10">
        <f>IF(H7&lt;=Setup!$B$3,"Checked out",IF(G7&lt;=Setup!$B$3,"In house","Upcoming"))</f>
        <v/>
      </c>
    </row>
    <row r="8">
      <c r="A8" s="5" t="inlineStr">
        <is>
          <t>H-304</t>
        </is>
      </c>
      <c r="B8" s="5" t="inlineStr">
        <is>
          <t>Amir</t>
        </is>
      </c>
      <c r="C8" s="5" t="inlineStr">
        <is>
          <t>Walk-in</t>
        </is>
      </c>
      <c r="D8" s="5" t="n">
        <v>101</v>
      </c>
      <c r="E8" s="10">
        <f>_xlfn.XLOOKUP(D8,Setup!$A$11:$A$18,Setup!$B$11:$B$18,"Check room")</f>
        <v/>
      </c>
      <c r="F8" s="11">
        <f>_xlfn.XLOOKUP(D8,Setup!$A$11:$A$18,Setup!$C$11:$C$18,0)</f>
        <v/>
      </c>
      <c r="G8" s="4" t="n">
        <v>46309</v>
      </c>
      <c r="H8" s="4" t="n">
        <v>46313</v>
      </c>
      <c r="I8" s="10">
        <f>H8-G8</f>
        <v/>
      </c>
      <c r="J8" s="11">
        <f>I8*F8</f>
        <v/>
      </c>
      <c r="K8" s="12">
        <f>IF(F8&lt;=Setup!$B$5,Setup!$B$6,Setup!$B$7)</f>
        <v/>
      </c>
      <c r="L8" s="13">
        <f>ROUND(J8*K8,2)</f>
        <v/>
      </c>
      <c r="M8" s="6" t="n">
        <v>0</v>
      </c>
      <c r="N8" s="13">
        <f>J8+L8+M8</f>
        <v/>
      </c>
      <c r="O8" s="6" t="n">
        <v>3000</v>
      </c>
      <c r="P8" s="13">
        <f>N8-O8</f>
        <v/>
      </c>
      <c r="Q8" s="10">
        <f>IF(H8&lt;=Setup!$B$3,"Checked out",IF(G8&lt;=Setup!$B$3,"In house","Upcoming"))</f>
        <v/>
      </c>
    </row>
    <row r="9">
      <c r="A9" s="5" t="inlineStr">
        <is>
          <t>H-305</t>
        </is>
      </c>
      <c r="B9" s="5" t="inlineStr">
        <is>
          <t>Salman</t>
        </is>
      </c>
      <c r="C9" s="5" t="inlineStr">
        <is>
          <t>Online agent</t>
        </is>
      </c>
      <c r="D9" s="5" t="n">
        <v>102</v>
      </c>
      <c r="E9" s="10">
        <f>_xlfn.XLOOKUP(D9,Setup!$A$11:$A$18,Setup!$B$11:$B$18,"Check room")</f>
        <v/>
      </c>
      <c r="F9" s="11">
        <f>_xlfn.XLOOKUP(D9,Setup!$A$11:$A$18,Setup!$C$11:$C$18,0)</f>
        <v/>
      </c>
      <c r="G9" s="4" t="n">
        <v>46297</v>
      </c>
      <c r="H9" s="4" t="n">
        <v>46300</v>
      </c>
      <c r="I9" s="10">
        <f>H9-G9</f>
        <v/>
      </c>
      <c r="J9" s="11">
        <f>I9*F9</f>
        <v/>
      </c>
      <c r="K9" s="12">
        <f>IF(F9&lt;=Setup!$B$5,Setup!$B$6,Setup!$B$7)</f>
        <v/>
      </c>
      <c r="L9" s="13">
        <f>ROUND(J9*K9,2)</f>
        <v/>
      </c>
      <c r="M9" s="6" t="n">
        <v>300</v>
      </c>
      <c r="N9" s="13">
        <f>J9+L9+M9</f>
        <v/>
      </c>
      <c r="O9" s="6" t="n">
        <v>2000</v>
      </c>
      <c r="P9" s="13">
        <f>N9-O9</f>
        <v/>
      </c>
      <c r="Q9" s="10">
        <f>IF(H9&lt;=Setup!$B$3,"Checked out",IF(G9&lt;=Setup!$B$3,"In house","Upcoming"))</f>
        <v/>
      </c>
    </row>
    <row r="10">
      <c r="A10" s="5" t="inlineStr">
        <is>
          <t>H-306</t>
        </is>
      </c>
      <c r="B10" s="5" t="inlineStr">
        <is>
          <t>Zoya</t>
        </is>
      </c>
      <c r="C10" s="5" t="inlineStr">
        <is>
          <t>Phone</t>
        </is>
      </c>
      <c r="D10" s="5" t="n">
        <v>102</v>
      </c>
      <c r="E10" s="10">
        <f>_xlfn.XLOOKUP(D10,Setup!$A$11:$A$18,Setup!$B$11:$B$18,"Check room")</f>
        <v/>
      </c>
      <c r="F10" s="11">
        <f>_xlfn.XLOOKUP(D10,Setup!$A$11:$A$18,Setup!$C$11:$C$18,0)</f>
        <v/>
      </c>
      <c r="G10" s="4" t="n">
        <v>46301</v>
      </c>
      <c r="H10" s="4" t="n">
        <v>46303</v>
      </c>
      <c r="I10" s="10">
        <f>H10-G10</f>
        <v/>
      </c>
      <c r="J10" s="11">
        <f>I10*F10</f>
        <v/>
      </c>
      <c r="K10" s="12">
        <f>IF(F10&lt;=Setup!$B$5,Setup!$B$6,Setup!$B$7)</f>
        <v/>
      </c>
      <c r="L10" s="13">
        <f>ROUND(J10*K10,2)</f>
        <v/>
      </c>
      <c r="M10" s="6" t="n">
        <v>0</v>
      </c>
      <c r="N10" s="13">
        <f>J10+L10+M10</f>
        <v/>
      </c>
      <c r="O10" s="6" t="n">
        <v>0</v>
      </c>
      <c r="P10" s="13">
        <f>N10-O10</f>
        <v/>
      </c>
      <c r="Q10" s="10">
        <f>IF(H10&lt;=Setup!$B$3,"Checked out",IF(G10&lt;=Setup!$B$3,"In house","Upcoming"))</f>
        <v/>
      </c>
    </row>
    <row r="11">
      <c r="A11" s="5" t="inlineStr">
        <is>
          <t>H-307</t>
        </is>
      </c>
      <c r="B11" s="5" t="inlineStr">
        <is>
          <t>Ravina</t>
        </is>
      </c>
      <c r="C11" s="5" t="inlineStr">
        <is>
          <t>Walk-in</t>
        </is>
      </c>
      <c r="D11" s="5" t="n">
        <v>102</v>
      </c>
      <c r="E11" s="10">
        <f>_xlfn.XLOOKUP(D11,Setup!$A$11:$A$18,Setup!$B$11:$B$18,"Check room")</f>
        <v/>
      </c>
      <c r="F11" s="11">
        <f>_xlfn.XLOOKUP(D11,Setup!$A$11:$A$18,Setup!$C$11:$C$18,0)</f>
        <v/>
      </c>
      <c r="G11" s="4" t="n">
        <v>46305</v>
      </c>
      <c r="H11" s="4" t="n">
        <v>46309</v>
      </c>
      <c r="I11" s="10">
        <f>H11-G11</f>
        <v/>
      </c>
      <c r="J11" s="11">
        <f>I11*F11</f>
        <v/>
      </c>
      <c r="K11" s="12">
        <f>IF(F11&lt;=Setup!$B$5,Setup!$B$6,Setup!$B$7)</f>
        <v/>
      </c>
      <c r="L11" s="13">
        <f>ROUND(J11*K11,2)</f>
        <v/>
      </c>
      <c r="M11" s="6" t="n">
        <v>450</v>
      </c>
      <c r="N11" s="13">
        <f>J11+L11+M11</f>
        <v/>
      </c>
      <c r="O11" s="6" t="n">
        <v>5000</v>
      </c>
      <c r="P11" s="13">
        <f>N11-O11</f>
        <v/>
      </c>
      <c r="Q11" s="10">
        <f>IF(H11&lt;=Setup!$B$3,"Checked out",IF(G11&lt;=Setup!$B$3,"In house","Upcoming"))</f>
        <v/>
      </c>
    </row>
    <row r="12">
      <c r="A12" s="5" t="inlineStr">
        <is>
          <t>H-308</t>
        </is>
      </c>
      <c r="B12" s="5" t="inlineStr">
        <is>
          <t>Raja</t>
        </is>
      </c>
      <c r="C12" s="5" t="inlineStr">
        <is>
          <t>Online agent</t>
        </is>
      </c>
      <c r="D12" s="5" t="n">
        <v>102</v>
      </c>
      <c r="E12" s="10">
        <f>_xlfn.XLOOKUP(D12,Setup!$A$11:$A$18,Setup!$B$11:$B$18,"Check room")</f>
        <v/>
      </c>
      <c r="F12" s="11">
        <f>_xlfn.XLOOKUP(D12,Setup!$A$11:$A$18,Setup!$C$11:$C$18,0)</f>
        <v/>
      </c>
      <c r="G12" s="4" t="n">
        <v>46310</v>
      </c>
      <c r="H12" s="4" t="n">
        <v>46312</v>
      </c>
      <c r="I12" s="10">
        <f>H12-G12</f>
        <v/>
      </c>
      <c r="J12" s="11">
        <f>I12*F12</f>
        <v/>
      </c>
      <c r="K12" s="12">
        <f>IF(F12&lt;=Setup!$B$5,Setup!$B$6,Setup!$B$7)</f>
        <v/>
      </c>
      <c r="L12" s="13">
        <f>ROUND(J12*K12,2)</f>
        <v/>
      </c>
      <c r="M12" s="6" t="n">
        <v>1200</v>
      </c>
      <c r="N12" s="13">
        <f>J12+L12+M12</f>
        <v/>
      </c>
      <c r="O12" s="6" t="n">
        <v>3000</v>
      </c>
      <c r="P12" s="13">
        <f>N12-O12</f>
        <v/>
      </c>
      <c r="Q12" s="10">
        <f>IF(H12&lt;=Setup!$B$3,"Checked out",IF(G12&lt;=Setup!$B$3,"In house","Upcoming"))</f>
        <v/>
      </c>
    </row>
    <row r="13">
      <c r="A13" s="5" t="inlineStr">
        <is>
          <t>H-309</t>
        </is>
      </c>
      <c r="B13" s="5" t="inlineStr">
        <is>
          <t>Rani</t>
        </is>
      </c>
      <c r="C13" s="5" t="inlineStr">
        <is>
          <t>Phone</t>
        </is>
      </c>
      <c r="D13" s="5" t="n">
        <v>103</v>
      </c>
      <c r="E13" s="10">
        <f>_xlfn.XLOOKUP(D13,Setup!$A$11:$A$18,Setup!$B$11:$B$18,"Check room")</f>
        <v/>
      </c>
      <c r="F13" s="11">
        <f>_xlfn.XLOOKUP(D13,Setup!$A$11:$A$18,Setup!$C$11:$C$18,0)</f>
        <v/>
      </c>
      <c r="G13" s="4" t="n">
        <v>46296</v>
      </c>
      <c r="H13" s="4" t="n">
        <v>46297</v>
      </c>
      <c r="I13" s="10">
        <f>H13-G13</f>
        <v/>
      </c>
      <c r="J13" s="11">
        <f>I13*F13</f>
        <v/>
      </c>
      <c r="K13" s="12">
        <f>IF(F13&lt;=Setup!$B$5,Setup!$B$6,Setup!$B$7)</f>
        <v/>
      </c>
      <c r="L13" s="13">
        <f>ROUND(J13*K13,2)</f>
        <v/>
      </c>
      <c r="M13" s="6" t="n">
        <v>0</v>
      </c>
      <c r="N13" s="13">
        <f>J13+L13+M13</f>
        <v/>
      </c>
      <c r="O13" s="6" t="n">
        <v>2000</v>
      </c>
      <c r="P13" s="13">
        <f>N13-O13</f>
        <v/>
      </c>
      <c r="Q13" s="10">
        <f>IF(H13&lt;=Setup!$B$3,"Checked out",IF(G13&lt;=Setup!$B$3,"In house","Upcoming"))</f>
        <v/>
      </c>
    </row>
    <row r="14">
      <c r="A14" s="5" t="inlineStr">
        <is>
          <t>H-310</t>
        </is>
      </c>
      <c r="B14" s="5" t="inlineStr">
        <is>
          <t>Ruhi Bagale</t>
        </is>
      </c>
      <c r="C14" s="5" t="inlineStr">
        <is>
          <t>Walk-in</t>
        </is>
      </c>
      <c r="D14" s="5" t="n">
        <v>103</v>
      </c>
      <c r="E14" s="10">
        <f>_xlfn.XLOOKUP(D14,Setup!$A$11:$A$18,Setup!$B$11:$B$18,"Check room")</f>
        <v/>
      </c>
      <c r="F14" s="11">
        <f>_xlfn.XLOOKUP(D14,Setup!$A$11:$A$18,Setup!$C$11:$C$18,0)</f>
        <v/>
      </c>
      <c r="G14" s="4" t="n">
        <v>46300</v>
      </c>
      <c r="H14" s="4" t="n">
        <v>46304</v>
      </c>
      <c r="I14" s="10">
        <f>H14-G14</f>
        <v/>
      </c>
      <c r="J14" s="11">
        <f>I14*F14</f>
        <v/>
      </c>
      <c r="K14" s="12">
        <f>IF(F14&lt;=Setup!$B$5,Setup!$B$6,Setup!$B$7)</f>
        <v/>
      </c>
      <c r="L14" s="13">
        <f>ROUND(J14*K14,2)</f>
        <v/>
      </c>
      <c r="M14" s="6" t="n">
        <v>300</v>
      </c>
      <c r="N14" s="13">
        <f>J14+L14+M14</f>
        <v/>
      </c>
      <c r="O14" s="6" t="n">
        <v>0</v>
      </c>
      <c r="P14" s="13">
        <f>N14-O14</f>
        <v/>
      </c>
      <c r="Q14" s="10">
        <f>IF(H14&lt;=Setup!$B$3,"Checked out",IF(G14&lt;=Setup!$B$3,"In house","Upcoming"))</f>
        <v/>
      </c>
    </row>
    <row r="15">
      <c r="A15" s="5" t="inlineStr">
        <is>
          <t>H-311</t>
        </is>
      </c>
      <c r="B15" s="5" t="inlineStr">
        <is>
          <t>Ravindra Bagale</t>
        </is>
      </c>
      <c r="C15" s="5" t="inlineStr">
        <is>
          <t>Online agent</t>
        </is>
      </c>
      <c r="D15" s="5" t="n">
        <v>103</v>
      </c>
      <c r="E15" s="10">
        <f>_xlfn.XLOOKUP(D15,Setup!$A$11:$A$18,Setup!$B$11:$B$18,"Check room")</f>
        <v/>
      </c>
      <c r="F15" s="11">
        <f>_xlfn.XLOOKUP(D15,Setup!$A$11:$A$18,Setup!$C$11:$C$18,0)</f>
        <v/>
      </c>
      <c r="G15" s="4" t="n">
        <v>46307</v>
      </c>
      <c r="H15" s="4" t="n">
        <v>46311</v>
      </c>
      <c r="I15" s="10">
        <f>H15-G15</f>
        <v/>
      </c>
      <c r="J15" s="11">
        <f>I15*F15</f>
        <v/>
      </c>
      <c r="K15" s="12">
        <f>IF(F15&lt;=Setup!$B$5,Setup!$B$6,Setup!$B$7)</f>
        <v/>
      </c>
      <c r="L15" s="13">
        <f>ROUND(J15*K15,2)</f>
        <v/>
      </c>
      <c r="M15" s="6" t="n">
        <v>0</v>
      </c>
      <c r="N15" s="13">
        <f>J15+L15+M15</f>
        <v/>
      </c>
      <c r="O15" s="6" t="n">
        <v>5000</v>
      </c>
      <c r="P15" s="13">
        <f>N15-O15</f>
        <v/>
      </c>
      <c r="Q15" s="10">
        <f>IF(H15&lt;=Setup!$B$3,"Checked out",IF(G15&lt;=Setup!$B$3,"In house","Upcoming"))</f>
        <v/>
      </c>
    </row>
    <row r="16">
      <c r="A16" s="5" t="inlineStr">
        <is>
          <t>H-312</t>
        </is>
      </c>
      <c r="B16" s="5" t="inlineStr">
        <is>
          <t>Shraddha Bagale</t>
        </is>
      </c>
      <c r="C16" s="5" t="inlineStr">
        <is>
          <t>Phone</t>
        </is>
      </c>
      <c r="D16" s="5" t="n">
        <v>103</v>
      </c>
      <c r="E16" s="10">
        <f>_xlfn.XLOOKUP(D16,Setup!$A$11:$A$18,Setup!$B$11:$B$18,"Check room")</f>
        <v/>
      </c>
      <c r="F16" s="11">
        <f>_xlfn.XLOOKUP(D16,Setup!$A$11:$A$18,Setup!$C$11:$C$18,0)</f>
        <v/>
      </c>
      <c r="G16" s="4" t="n">
        <v>46315</v>
      </c>
      <c r="H16" s="4" t="n">
        <v>46317</v>
      </c>
      <c r="I16" s="10">
        <f>H16-G16</f>
        <v/>
      </c>
      <c r="J16" s="11">
        <f>I16*F16</f>
        <v/>
      </c>
      <c r="K16" s="12">
        <f>IF(F16&lt;=Setup!$B$5,Setup!$B$6,Setup!$B$7)</f>
        <v/>
      </c>
      <c r="L16" s="13">
        <f>ROUND(J16*K16,2)</f>
        <v/>
      </c>
      <c r="M16" s="6" t="n">
        <v>450</v>
      </c>
      <c r="N16" s="13">
        <f>J16+L16+M16</f>
        <v/>
      </c>
      <c r="O16" s="6" t="n">
        <v>3000</v>
      </c>
      <c r="P16" s="13">
        <f>N16-O16</f>
        <v/>
      </c>
      <c r="Q16" s="10">
        <f>IF(H16&lt;=Setup!$B$3,"Checked out",IF(G16&lt;=Setup!$B$3,"In house","Upcoming"))</f>
        <v/>
      </c>
    </row>
    <row r="17">
      <c r="A17" s="5" t="inlineStr">
        <is>
          <t>H-313</t>
        </is>
      </c>
      <c r="B17" s="5" t="inlineStr">
        <is>
          <t>Shahrukh</t>
        </is>
      </c>
      <c r="C17" s="5" t="inlineStr">
        <is>
          <t>Walk-in</t>
        </is>
      </c>
      <c r="D17" s="5" t="n">
        <v>104</v>
      </c>
      <c r="E17" s="10">
        <f>_xlfn.XLOOKUP(D17,Setup!$A$11:$A$18,Setup!$B$11:$B$18,"Check room")</f>
        <v/>
      </c>
      <c r="F17" s="11">
        <f>_xlfn.XLOOKUP(D17,Setup!$A$11:$A$18,Setup!$C$11:$C$18,0)</f>
        <v/>
      </c>
      <c r="G17" s="4" t="n">
        <v>46298</v>
      </c>
      <c r="H17" s="4" t="n">
        <v>46301</v>
      </c>
      <c r="I17" s="10">
        <f>H17-G17</f>
        <v/>
      </c>
      <c r="J17" s="11">
        <f>I17*F17</f>
        <v/>
      </c>
      <c r="K17" s="12">
        <f>IF(F17&lt;=Setup!$B$5,Setup!$B$6,Setup!$B$7)</f>
        <v/>
      </c>
      <c r="L17" s="13">
        <f>ROUND(J17*K17,2)</f>
        <v/>
      </c>
      <c r="M17" s="6" t="n">
        <v>1200</v>
      </c>
      <c r="N17" s="13">
        <f>J17+L17+M17</f>
        <v/>
      </c>
      <c r="O17" s="6" t="n">
        <v>2000</v>
      </c>
      <c r="P17" s="13">
        <f>N17-O17</f>
        <v/>
      </c>
      <c r="Q17" s="10">
        <f>IF(H17&lt;=Setup!$B$3,"Checked out",IF(G17&lt;=Setup!$B$3,"In house","Upcoming"))</f>
        <v/>
      </c>
    </row>
    <row r="18">
      <c r="A18" s="5" t="inlineStr">
        <is>
          <t>H-314</t>
        </is>
      </c>
      <c r="B18" s="5" t="inlineStr">
        <is>
          <t>Amir</t>
        </is>
      </c>
      <c r="C18" s="5" t="inlineStr">
        <is>
          <t>Online agent</t>
        </is>
      </c>
      <c r="D18" s="5" t="n">
        <v>104</v>
      </c>
      <c r="E18" s="10">
        <f>_xlfn.XLOOKUP(D18,Setup!$A$11:$A$18,Setup!$B$11:$B$18,"Check room")</f>
        <v/>
      </c>
      <c r="F18" s="11">
        <f>_xlfn.XLOOKUP(D18,Setup!$A$11:$A$18,Setup!$C$11:$C$18,0)</f>
        <v/>
      </c>
      <c r="G18" s="4" t="n">
        <v>46303</v>
      </c>
      <c r="H18" s="4" t="n">
        <v>46305</v>
      </c>
      <c r="I18" s="10">
        <f>H18-G18</f>
        <v/>
      </c>
      <c r="J18" s="11">
        <f>I18*F18</f>
        <v/>
      </c>
      <c r="K18" s="12">
        <f>IF(F18&lt;=Setup!$B$5,Setup!$B$6,Setup!$B$7)</f>
        <v/>
      </c>
      <c r="L18" s="13">
        <f>ROUND(J18*K18,2)</f>
        <v/>
      </c>
      <c r="M18" s="6" t="n">
        <v>0</v>
      </c>
      <c r="N18" s="13">
        <f>J18+L18+M18</f>
        <v/>
      </c>
      <c r="O18" s="6" t="n">
        <v>0</v>
      </c>
      <c r="P18" s="13">
        <f>N18-O18</f>
        <v/>
      </c>
      <c r="Q18" s="10">
        <f>IF(H18&lt;=Setup!$B$3,"Checked out",IF(G18&lt;=Setup!$B$3,"In house","Upcoming"))</f>
        <v/>
      </c>
    </row>
    <row r="19">
      <c r="A19" s="5" t="inlineStr">
        <is>
          <t>H-315</t>
        </is>
      </c>
      <c r="B19" s="5" t="inlineStr">
        <is>
          <t>Salman</t>
        </is>
      </c>
      <c r="C19" s="5" t="inlineStr">
        <is>
          <t>Phone</t>
        </is>
      </c>
      <c r="D19" s="5" t="n">
        <v>104</v>
      </c>
      <c r="E19" s="10">
        <f>_xlfn.XLOOKUP(D19,Setup!$A$11:$A$18,Setup!$B$11:$B$18,"Check room")</f>
        <v/>
      </c>
      <c r="F19" s="11">
        <f>_xlfn.XLOOKUP(D19,Setup!$A$11:$A$18,Setup!$C$11:$C$18,0)</f>
        <v/>
      </c>
      <c r="G19" s="4" t="n">
        <v>46308</v>
      </c>
      <c r="H19" s="4" t="n">
        <v>46314</v>
      </c>
      <c r="I19" s="10">
        <f>H19-G19</f>
        <v/>
      </c>
      <c r="J19" s="11">
        <f>I19*F19</f>
        <v/>
      </c>
      <c r="K19" s="12">
        <f>IF(F19&lt;=Setup!$B$5,Setup!$B$6,Setup!$B$7)</f>
        <v/>
      </c>
      <c r="L19" s="13">
        <f>ROUND(J19*K19,2)</f>
        <v/>
      </c>
      <c r="M19" s="6" t="n">
        <v>300</v>
      </c>
      <c r="N19" s="13">
        <f>J19+L19+M19</f>
        <v/>
      </c>
      <c r="O19" s="6" t="n">
        <v>5000</v>
      </c>
      <c r="P19" s="13">
        <f>N19-O19</f>
        <v/>
      </c>
      <c r="Q19" s="10">
        <f>IF(H19&lt;=Setup!$B$3,"Checked out",IF(G19&lt;=Setup!$B$3,"In house","Upcoming"))</f>
        <v/>
      </c>
    </row>
    <row r="20">
      <c r="A20" s="5" t="inlineStr">
        <is>
          <t>H-316</t>
        </is>
      </c>
      <c r="B20" s="5" t="inlineStr">
        <is>
          <t>Zoya</t>
        </is>
      </c>
      <c r="C20" s="5" t="inlineStr">
        <is>
          <t>Walk-in</t>
        </is>
      </c>
      <c r="D20" s="5" t="n">
        <v>201</v>
      </c>
      <c r="E20" s="10">
        <f>_xlfn.XLOOKUP(D20,Setup!$A$11:$A$18,Setup!$B$11:$B$18,"Check room")</f>
        <v/>
      </c>
      <c r="F20" s="11">
        <f>_xlfn.XLOOKUP(D20,Setup!$A$11:$A$18,Setup!$C$11:$C$18,0)</f>
        <v/>
      </c>
      <c r="G20" s="4" t="n">
        <v>46296</v>
      </c>
      <c r="H20" s="4" t="n">
        <v>46299</v>
      </c>
      <c r="I20" s="10">
        <f>H20-G20</f>
        <v/>
      </c>
      <c r="J20" s="11">
        <f>I20*F20</f>
        <v/>
      </c>
      <c r="K20" s="12">
        <f>IF(F20&lt;=Setup!$B$5,Setup!$B$6,Setup!$B$7)</f>
        <v/>
      </c>
      <c r="L20" s="13">
        <f>ROUND(J20*K20,2)</f>
        <v/>
      </c>
      <c r="M20" s="6" t="n">
        <v>0</v>
      </c>
      <c r="N20" s="13">
        <f>J20+L20+M20</f>
        <v/>
      </c>
      <c r="O20" s="6" t="n">
        <v>3000</v>
      </c>
      <c r="P20" s="13">
        <f>N20-O20</f>
        <v/>
      </c>
      <c r="Q20" s="10">
        <f>IF(H20&lt;=Setup!$B$3,"Checked out",IF(G20&lt;=Setup!$B$3,"In house","Upcoming"))</f>
        <v/>
      </c>
    </row>
    <row r="21">
      <c r="A21" s="5" t="inlineStr">
        <is>
          <t>H-317</t>
        </is>
      </c>
      <c r="B21" s="5" t="inlineStr">
        <is>
          <t>Ravina</t>
        </is>
      </c>
      <c r="C21" s="5" t="inlineStr">
        <is>
          <t>Online agent</t>
        </is>
      </c>
      <c r="D21" s="5" t="n">
        <v>201</v>
      </c>
      <c r="E21" s="10">
        <f>_xlfn.XLOOKUP(D21,Setup!$A$11:$A$18,Setup!$B$11:$B$18,"Check room")</f>
        <v/>
      </c>
      <c r="F21" s="11">
        <f>_xlfn.XLOOKUP(D21,Setup!$A$11:$A$18,Setup!$C$11:$C$18,0)</f>
        <v/>
      </c>
      <c r="G21" s="4" t="n">
        <v>46300</v>
      </c>
      <c r="H21" s="4" t="n">
        <v>46303</v>
      </c>
      <c r="I21" s="10">
        <f>H21-G21</f>
        <v/>
      </c>
      <c r="J21" s="11">
        <f>I21*F21</f>
        <v/>
      </c>
      <c r="K21" s="12">
        <f>IF(F21&lt;=Setup!$B$5,Setup!$B$6,Setup!$B$7)</f>
        <v/>
      </c>
      <c r="L21" s="13">
        <f>ROUND(J21*K21,2)</f>
        <v/>
      </c>
      <c r="M21" s="6" t="n">
        <v>450</v>
      </c>
      <c r="N21" s="13">
        <f>J21+L21+M21</f>
        <v/>
      </c>
      <c r="O21" s="6" t="n">
        <v>2000</v>
      </c>
      <c r="P21" s="13">
        <f>N21-O21</f>
        <v/>
      </c>
      <c r="Q21" s="10">
        <f>IF(H21&lt;=Setup!$B$3,"Checked out",IF(G21&lt;=Setup!$B$3,"In house","Upcoming"))</f>
        <v/>
      </c>
    </row>
    <row r="22">
      <c r="A22" s="5" t="inlineStr">
        <is>
          <t>H-318</t>
        </is>
      </c>
      <c r="B22" s="5" t="inlineStr">
        <is>
          <t>Raja</t>
        </is>
      </c>
      <c r="C22" s="5" t="inlineStr">
        <is>
          <t>Phone</t>
        </is>
      </c>
      <c r="D22" s="5" t="n">
        <v>201</v>
      </c>
      <c r="E22" s="10">
        <f>_xlfn.XLOOKUP(D22,Setup!$A$11:$A$18,Setup!$B$11:$B$18,"Check room")</f>
        <v/>
      </c>
      <c r="F22" s="11">
        <f>_xlfn.XLOOKUP(D22,Setup!$A$11:$A$18,Setup!$C$11:$C$18,0)</f>
        <v/>
      </c>
      <c r="G22" s="4" t="n">
        <v>46305</v>
      </c>
      <c r="H22" s="4" t="n">
        <v>46308</v>
      </c>
      <c r="I22" s="10">
        <f>H22-G22</f>
        <v/>
      </c>
      <c r="J22" s="11">
        <f>I22*F22</f>
        <v/>
      </c>
      <c r="K22" s="12">
        <f>IF(F22&lt;=Setup!$B$5,Setup!$B$6,Setup!$B$7)</f>
        <v/>
      </c>
      <c r="L22" s="13">
        <f>ROUND(J22*K22,2)</f>
        <v/>
      </c>
      <c r="M22" s="6" t="n">
        <v>1200</v>
      </c>
      <c r="N22" s="13">
        <f>J22+L22+M22</f>
        <v/>
      </c>
      <c r="O22" s="6" t="n">
        <v>0</v>
      </c>
      <c r="P22" s="13">
        <f>N22-O22</f>
        <v/>
      </c>
      <c r="Q22" s="10">
        <f>IF(H22&lt;=Setup!$B$3,"Checked out",IF(G22&lt;=Setup!$B$3,"In house","Upcoming"))</f>
        <v/>
      </c>
    </row>
    <row r="23">
      <c r="A23" s="5" t="inlineStr">
        <is>
          <t>H-319</t>
        </is>
      </c>
      <c r="B23" s="5" t="inlineStr">
        <is>
          <t>Rani</t>
        </is>
      </c>
      <c r="C23" s="5" t="inlineStr">
        <is>
          <t>Walk-in</t>
        </is>
      </c>
      <c r="D23" s="5" t="n">
        <v>201</v>
      </c>
      <c r="E23" s="10">
        <f>_xlfn.XLOOKUP(D23,Setup!$A$11:$A$18,Setup!$B$11:$B$18,"Check room")</f>
        <v/>
      </c>
      <c r="F23" s="11">
        <f>_xlfn.XLOOKUP(D23,Setup!$A$11:$A$18,Setup!$C$11:$C$18,0)</f>
        <v/>
      </c>
      <c r="G23" s="4" t="n">
        <v>46311</v>
      </c>
      <c r="H23" s="4" t="n">
        <v>46315</v>
      </c>
      <c r="I23" s="10">
        <f>H23-G23</f>
        <v/>
      </c>
      <c r="J23" s="11">
        <f>I23*F23</f>
        <v/>
      </c>
      <c r="K23" s="12">
        <f>IF(F23&lt;=Setup!$B$5,Setup!$B$6,Setup!$B$7)</f>
        <v/>
      </c>
      <c r="L23" s="13">
        <f>ROUND(J23*K23,2)</f>
        <v/>
      </c>
      <c r="M23" s="6" t="n">
        <v>0</v>
      </c>
      <c r="N23" s="13">
        <f>J23+L23+M23</f>
        <v/>
      </c>
      <c r="O23" s="6" t="n">
        <v>5000</v>
      </c>
      <c r="P23" s="13">
        <f>N23-O23</f>
        <v/>
      </c>
      <c r="Q23" s="10">
        <f>IF(H23&lt;=Setup!$B$3,"Checked out",IF(G23&lt;=Setup!$B$3,"In house","Upcoming"))</f>
        <v/>
      </c>
    </row>
    <row r="24">
      <c r="A24" s="5" t="inlineStr">
        <is>
          <t>H-320</t>
        </is>
      </c>
      <c r="B24" s="5" t="inlineStr">
        <is>
          <t>Ruhi Bagale</t>
        </is>
      </c>
      <c r="C24" s="5" t="inlineStr">
        <is>
          <t>Online agent</t>
        </is>
      </c>
      <c r="D24" s="5" t="n">
        <v>202</v>
      </c>
      <c r="E24" s="10">
        <f>_xlfn.XLOOKUP(D24,Setup!$A$11:$A$18,Setup!$B$11:$B$18,"Check room")</f>
        <v/>
      </c>
      <c r="F24" s="11">
        <f>_xlfn.XLOOKUP(D24,Setup!$A$11:$A$18,Setup!$C$11:$C$18,0)</f>
        <v/>
      </c>
      <c r="G24" s="4" t="n">
        <v>46297</v>
      </c>
      <c r="H24" s="4" t="n">
        <v>46301</v>
      </c>
      <c r="I24" s="10">
        <f>H24-G24</f>
        <v/>
      </c>
      <c r="J24" s="11">
        <f>I24*F24</f>
        <v/>
      </c>
      <c r="K24" s="12">
        <f>IF(F24&lt;=Setup!$B$5,Setup!$B$6,Setup!$B$7)</f>
        <v/>
      </c>
      <c r="L24" s="13">
        <f>ROUND(J24*K24,2)</f>
        <v/>
      </c>
      <c r="M24" s="6" t="n">
        <v>300</v>
      </c>
      <c r="N24" s="13">
        <f>J24+L24+M24</f>
        <v/>
      </c>
      <c r="O24" s="6" t="n">
        <v>3000</v>
      </c>
      <c r="P24" s="13">
        <f>N24-O24</f>
        <v/>
      </c>
      <c r="Q24" s="10">
        <f>IF(H24&lt;=Setup!$B$3,"Checked out",IF(G24&lt;=Setup!$B$3,"In house","Upcoming"))</f>
        <v/>
      </c>
    </row>
    <row r="25">
      <c r="A25" s="5" t="inlineStr">
        <is>
          <t>H-321</t>
        </is>
      </c>
      <c r="B25" s="5" t="inlineStr">
        <is>
          <t>Ravindra Bagale</t>
        </is>
      </c>
      <c r="C25" s="5" t="inlineStr">
        <is>
          <t>Phone</t>
        </is>
      </c>
      <c r="D25" s="5" t="n">
        <v>202</v>
      </c>
      <c r="E25" s="10">
        <f>_xlfn.XLOOKUP(D25,Setup!$A$11:$A$18,Setup!$B$11:$B$18,"Check room")</f>
        <v/>
      </c>
      <c r="F25" s="11">
        <f>_xlfn.XLOOKUP(D25,Setup!$A$11:$A$18,Setup!$C$11:$C$18,0)</f>
        <v/>
      </c>
      <c r="G25" s="4" t="n">
        <v>46304</v>
      </c>
      <c r="H25" s="4" t="n">
        <v>46306</v>
      </c>
      <c r="I25" s="10">
        <f>H25-G25</f>
        <v/>
      </c>
      <c r="J25" s="11">
        <f>I25*F25</f>
        <v/>
      </c>
      <c r="K25" s="12">
        <f>IF(F25&lt;=Setup!$B$5,Setup!$B$6,Setup!$B$7)</f>
        <v/>
      </c>
      <c r="L25" s="13">
        <f>ROUND(J25*K25,2)</f>
        <v/>
      </c>
      <c r="M25" s="6" t="n">
        <v>0</v>
      </c>
      <c r="N25" s="13">
        <f>J25+L25+M25</f>
        <v/>
      </c>
      <c r="O25" s="6" t="n">
        <v>2000</v>
      </c>
      <c r="P25" s="13">
        <f>N25-O25</f>
        <v/>
      </c>
      <c r="Q25" s="10">
        <f>IF(H25&lt;=Setup!$B$3,"Checked out",IF(G25&lt;=Setup!$B$3,"In house","Upcoming"))</f>
        <v/>
      </c>
    </row>
    <row r="26">
      <c r="A26" s="5" t="inlineStr">
        <is>
          <t>H-322</t>
        </is>
      </c>
      <c r="B26" s="5" t="inlineStr">
        <is>
          <t>Shraddha Bagale</t>
        </is>
      </c>
      <c r="C26" s="5" t="inlineStr">
        <is>
          <t>Walk-in</t>
        </is>
      </c>
      <c r="D26" s="5" t="n">
        <v>202</v>
      </c>
      <c r="E26" s="10">
        <f>_xlfn.XLOOKUP(D26,Setup!$A$11:$A$18,Setup!$B$11:$B$18,"Check room")</f>
        <v/>
      </c>
      <c r="F26" s="11">
        <f>_xlfn.XLOOKUP(D26,Setup!$A$11:$A$18,Setup!$C$11:$C$18,0)</f>
        <v/>
      </c>
      <c r="G26" s="4" t="n">
        <v>46312</v>
      </c>
      <c r="H26" s="4" t="n">
        <v>46314</v>
      </c>
      <c r="I26" s="10">
        <f>H26-G26</f>
        <v/>
      </c>
      <c r="J26" s="11">
        <f>I26*F26</f>
        <v/>
      </c>
      <c r="K26" s="12">
        <f>IF(F26&lt;=Setup!$B$5,Setup!$B$6,Setup!$B$7)</f>
        <v/>
      </c>
      <c r="L26" s="13">
        <f>ROUND(J26*K26,2)</f>
        <v/>
      </c>
      <c r="M26" s="6" t="n">
        <v>450</v>
      </c>
      <c r="N26" s="13">
        <f>J26+L26+M26</f>
        <v/>
      </c>
      <c r="O26" s="6" t="n">
        <v>0</v>
      </c>
      <c r="P26" s="13">
        <f>N26-O26</f>
        <v/>
      </c>
      <c r="Q26" s="10">
        <f>IF(H26&lt;=Setup!$B$3,"Checked out",IF(G26&lt;=Setup!$B$3,"In house","Upcoming"))</f>
        <v/>
      </c>
    </row>
    <row r="27">
      <c r="A27" s="5" t="inlineStr">
        <is>
          <t>H-323</t>
        </is>
      </c>
      <c r="B27" s="5" t="inlineStr">
        <is>
          <t>Shahrukh</t>
        </is>
      </c>
      <c r="C27" s="5" t="inlineStr">
        <is>
          <t>Online agent</t>
        </is>
      </c>
      <c r="D27" s="5" t="n">
        <v>203</v>
      </c>
      <c r="E27" s="10">
        <f>_xlfn.XLOOKUP(D27,Setup!$A$11:$A$18,Setup!$B$11:$B$18,"Check room")</f>
        <v/>
      </c>
      <c r="F27" s="11">
        <f>_xlfn.XLOOKUP(D27,Setup!$A$11:$A$18,Setup!$C$11:$C$18,0)</f>
        <v/>
      </c>
      <c r="G27" s="4" t="n">
        <v>46299</v>
      </c>
      <c r="H27" s="4" t="n">
        <v>46303</v>
      </c>
      <c r="I27" s="10">
        <f>H27-G27</f>
        <v/>
      </c>
      <c r="J27" s="11">
        <f>I27*F27</f>
        <v/>
      </c>
      <c r="K27" s="12">
        <f>IF(F27&lt;=Setup!$B$5,Setup!$B$6,Setup!$B$7)</f>
        <v/>
      </c>
      <c r="L27" s="13">
        <f>ROUND(J27*K27,2)</f>
        <v/>
      </c>
      <c r="M27" s="6" t="n">
        <v>1200</v>
      </c>
      <c r="N27" s="13">
        <f>J27+L27+M27</f>
        <v/>
      </c>
      <c r="O27" s="6" t="n">
        <v>5000</v>
      </c>
      <c r="P27" s="13">
        <f>N27-O27</f>
        <v/>
      </c>
      <c r="Q27" s="10">
        <f>IF(H27&lt;=Setup!$B$3,"Checked out",IF(G27&lt;=Setup!$B$3,"In house","Upcoming"))</f>
        <v/>
      </c>
    </row>
    <row r="28">
      <c r="A28" s="5" t="inlineStr">
        <is>
          <t>H-324</t>
        </is>
      </c>
      <c r="B28" s="5" t="inlineStr">
        <is>
          <t>Amir</t>
        </is>
      </c>
      <c r="C28" s="5" t="inlineStr">
        <is>
          <t>Phone</t>
        </is>
      </c>
      <c r="D28" s="5" t="n">
        <v>203</v>
      </c>
      <c r="E28" s="10">
        <f>_xlfn.XLOOKUP(D28,Setup!$A$11:$A$18,Setup!$B$11:$B$18,"Check room")</f>
        <v/>
      </c>
      <c r="F28" s="11">
        <f>_xlfn.XLOOKUP(D28,Setup!$A$11:$A$18,Setup!$C$11:$C$18,0)</f>
        <v/>
      </c>
      <c r="G28" s="4" t="n">
        <v>46307</v>
      </c>
      <c r="H28" s="4" t="n">
        <v>46310</v>
      </c>
      <c r="I28" s="10">
        <f>H28-G28</f>
        <v/>
      </c>
      <c r="J28" s="11">
        <f>I28*F28</f>
        <v/>
      </c>
      <c r="K28" s="12">
        <f>IF(F28&lt;=Setup!$B$5,Setup!$B$6,Setup!$B$7)</f>
        <v/>
      </c>
      <c r="L28" s="13">
        <f>ROUND(J28*K28,2)</f>
        <v/>
      </c>
      <c r="M28" s="6" t="n">
        <v>0</v>
      </c>
      <c r="N28" s="13">
        <f>J28+L28+M28</f>
        <v/>
      </c>
      <c r="O28" s="6" t="n">
        <v>3000</v>
      </c>
      <c r="P28" s="13">
        <f>N28-O28</f>
        <v/>
      </c>
      <c r="Q28" s="10">
        <f>IF(H28&lt;=Setup!$B$3,"Checked out",IF(G28&lt;=Setup!$B$3,"In house","Upcoming"))</f>
        <v/>
      </c>
    </row>
    <row r="29">
      <c r="A29" s="5" t="inlineStr">
        <is>
          <t>H-325</t>
        </is>
      </c>
      <c r="B29" s="5" t="inlineStr">
        <is>
          <t>Salman</t>
        </is>
      </c>
      <c r="C29" s="5" t="inlineStr">
        <is>
          <t>Walk-in</t>
        </is>
      </c>
      <c r="D29" s="5" t="n">
        <v>203</v>
      </c>
      <c r="E29" s="10">
        <f>_xlfn.XLOOKUP(D29,Setup!$A$11:$A$18,Setup!$B$11:$B$18,"Check room")</f>
        <v/>
      </c>
      <c r="F29" s="11">
        <f>_xlfn.XLOOKUP(D29,Setup!$A$11:$A$18,Setup!$C$11:$C$18,0)</f>
        <v/>
      </c>
      <c r="G29" s="4" t="n">
        <v>46313</v>
      </c>
      <c r="H29" s="4" t="n">
        <v>46316</v>
      </c>
      <c r="I29" s="10">
        <f>H29-G29</f>
        <v/>
      </c>
      <c r="J29" s="11">
        <f>I29*F29</f>
        <v/>
      </c>
      <c r="K29" s="12">
        <f>IF(F29&lt;=Setup!$B$5,Setup!$B$6,Setup!$B$7)</f>
        <v/>
      </c>
      <c r="L29" s="13">
        <f>ROUND(J29*K29,2)</f>
        <v/>
      </c>
      <c r="M29" s="6" t="n">
        <v>300</v>
      </c>
      <c r="N29" s="13">
        <f>J29+L29+M29</f>
        <v/>
      </c>
      <c r="O29" s="6" t="n">
        <v>2000</v>
      </c>
      <c r="P29" s="13">
        <f>N29-O29</f>
        <v/>
      </c>
      <c r="Q29" s="10">
        <f>IF(H29&lt;=Setup!$B$3,"Checked out",IF(G29&lt;=Setup!$B$3,"In house","Upcoming"))</f>
        <v/>
      </c>
    </row>
    <row r="30">
      <c r="A30" s="5" t="inlineStr">
        <is>
          <t>H-326</t>
        </is>
      </c>
      <c r="B30" s="5" t="inlineStr">
        <is>
          <t>Zoya</t>
        </is>
      </c>
      <c r="C30" s="5" t="inlineStr">
        <is>
          <t>Online agent</t>
        </is>
      </c>
      <c r="D30" s="5" t="n">
        <v>301</v>
      </c>
      <c r="E30" s="10">
        <f>_xlfn.XLOOKUP(D30,Setup!$A$11:$A$18,Setup!$B$11:$B$18,"Check room")</f>
        <v/>
      </c>
      <c r="F30" s="11">
        <f>_xlfn.XLOOKUP(D30,Setup!$A$11:$A$18,Setup!$C$11:$C$18,0)</f>
        <v/>
      </c>
      <c r="G30" s="4" t="n">
        <v>46301</v>
      </c>
      <c r="H30" s="4" t="n">
        <v>46303</v>
      </c>
      <c r="I30" s="10">
        <f>H30-G30</f>
        <v/>
      </c>
      <c r="J30" s="11">
        <f>I30*F30</f>
        <v/>
      </c>
      <c r="K30" s="12">
        <f>IF(F30&lt;=Setup!$B$5,Setup!$B$6,Setup!$B$7)</f>
        <v/>
      </c>
      <c r="L30" s="13">
        <f>ROUND(J30*K30,2)</f>
        <v/>
      </c>
      <c r="M30" s="6" t="n">
        <v>0</v>
      </c>
      <c r="N30" s="13">
        <f>J30+L30+M30</f>
        <v/>
      </c>
      <c r="O30" s="6" t="n">
        <v>0</v>
      </c>
      <c r="P30" s="13">
        <f>N30-O30</f>
        <v/>
      </c>
      <c r="Q30" s="10">
        <f>IF(H30&lt;=Setup!$B$3,"Checked out",IF(G30&lt;=Setup!$B$3,"In house","Upcoming"))</f>
        <v/>
      </c>
    </row>
    <row r="31">
      <c r="A31" s="5" t="inlineStr">
        <is>
          <t>H-327</t>
        </is>
      </c>
      <c r="B31" s="5" t="inlineStr">
        <is>
          <t>Ravina</t>
        </is>
      </c>
      <c r="C31" s="5" t="inlineStr">
        <is>
          <t>Phone</t>
        </is>
      </c>
      <c r="D31" s="5" t="n">
        <v>301</v>
      </c>
      <c r="E31" s="10">
        <f>_xlfn.XLOOKUP(D31,Setup!$A$11:$A$18,Setup!$B$11:$B$18,"Check room")</f>
        <v/>
      </c>
      <c r="F31" s="11">
        <f>_xlfn.XLOOKUP(D31,Setup!$A$11:$A$18,Setup!$C$11:$C$18,0)</f>
        <v/>
      </c>
      <c r="G31" s="4" t="n">
        <v>46310</v>
      </c>
      <c r="H31" s="4" t="n">
        <v>46312</v>
      </c>
      <c r="I31" s="10">
        <f>H31-G31</f>
        <v/>
      </c>
      <c r="J31" s="11">
        <f>I31*F31</f>
        <v/>
      </c>
      <c r="K31" s="12">
        <f>IF(F31&lt;=Setup!$B$5,Setup!$B$6,Setup!$B$7)</f>
        <v/>
      </c>
      <c r="L31" s="13">
        <f>ROUND(J31*K31,2)</f>
        <v/>
      </c>
      <c r="M31" s="6" t="n">
        <v>450</v>
      </c>
      <c r="N31" s="13">
        <f>J31+L31+M31</f>
        <v/>
      </c>
      <c r="O31" s="6" t="n">
        <v>5000</v>
      </c>
      <c r="P31" s="13">
        <f>N31-O31</f>
        <v/>
      </c>
      <c r="Q31" s="10">
        <f>IF(H31&lt;=Setup!$B$3,"Checked out",IF(G31&lt;=Setup!$B$3,"In house","Upcoming"))</f>
        <v/>
      </c>
    </row>
  </sheetData>
  <conditionalFormatting sqref="Q5:Q200">
    <cfRule type="cellIs" priority="1" operator="equal" dxfId="0">
      <formula>"In house"</formula>
    </cfRule>
    <cfRule type="cellIs" priority="2" operator="equal" dxfId="1">
      <formula>"Upcoming"</formula>
    </cfRule>
  </conditionalFormatting>
  <conditionalFormatting sqref="I5:I200">
    <cfRule type="cellIs" priority="3" operator="lessThanOrEqual" dxfId="2">
      <formula>0</formula>
    </cfRule>
  </conditionalFormatting>
  <dataValidations count="2">
    <dataValidation sqref="C5:C200" showDropDown="0" showInputMessage="0" showErrorMessage="1" allowBlank="1" errorTitle="Not in the list" error="Pick a value from the list" type="list">
      <formula1>=Setup!$F$11:$F$13</formula1>
    </dataValidation>
    <dataValidation sqref="D5:D200" showDropDown="0" showInputMessage="0" showErrorMessage="1" allowBlank="1" errorTitle="Not in the list" error="Pick a value from the list" type="list">
      <formula1>=Setup!$A$11:$A$18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2" customWidth="1" min="3" max="3"/>
    <col width="15" customWidth="1" min="4" max="4"/>
    <col width="11" customWidth="1" min="5" max="5"/>
    <col width="11" customWidth="1" min="6" max="6"/>
  </cols>
  <sheetData>
    <row r="1">
      <c r="A1" s="1" t="inlineStr">
        <is>
          <t>Daily occupancy, ADR and RevPAR</t>
        </is>
      </c>
    </row>
    <row r="2">
      <c r="A2" s="2" t="inlineStr">
        <is>
          <t>A room is sold on a night if check-in ≤ that date &lt; check-out. ADR = room revenue ÷ rooms sold; RevPAR = room revenue ÷ rooms available.</t>
        </is>
      </c>
    </row>
    <row r="3">
      <c r="A3" s="3" t="inlineStr">
        <is>
          <t>Rooms available</t>
        </is>
      </c>
      <c r="B3" s="10">
        <f>COUNTA(Setup!A11:A18)</f>
        <v/>
      </c>
    </row>
    <row r="5">
      <c r="A5" s="8" t="inlineStr">
        <is>
          <t>Date</t>
        </is>
      </c>
      <c r="B5" s="8" t="inlineStr">
        <is>
          <t>Rooms sold</t>
        </is>
      </c>
      <c r="C5" s="8" t="inlineStr">
        <is>
          <t>Occupancy %</t>
        </is>
      </c>
      <c r="D5" s="8" t="inlineStr">
        <is>
          <t>Room revenue (₹)</t>
        </is>
      </c>
      <c r="E5" s="8" t="inlineStr">
        <is>
          <t>ADR (₹)</t>
        </is>
      </c>
      <c r="F5" s="8" t="inlineStr">
        <is>
          <t>RevPAR (₹)</t>
        </is>
      </c>
    </row>
    <row r="6">
      <c r="A6" s="14">
        <f>Setup!B8</f>
        <v/>
      </c>
      <c r="B6" s="10">
        <f>COUNTIFS(Bookings!$G$5:$G$200,"&lt;="&amp;A6,Bookings!$H$5:$H$200,"&gt;"&amp;A6)</f>
        <v/>
      </c>
      <c r="C6" s="15">
        <f>B6/$B$3</f>
        <v/>
      </c>
      <c r="D6" s="11">
        <f>SUMIFS(Bookings!$F$5:$F$200,Bookings!$G$5:$G$200,"&lt;="&amp;A6,Bookings!$H$5:$H$200,"&gt;"&amp;A6)</f>
        <v/>
      </c>
      <c r="E6" s="11">
        <f>IFERROR(D6/B6,0)</f>
        <v/>
      </c>
      <c r="F6" s="11">
        <f>D6/$B$3</f>
        <v/>
      </c>
    </row>
    <row r="7">
      <c r="A7" s="14">
        <f>A6+1</f>
        <v/>
      </c>
      <c r="B7" s="10">
        <f>COUNTIFS(Bookings!$G$5:$G$200,"&lt;="&amp;A7,Bookings!$H$5:$H$200,"&gt;"&amp;A7)</f>
        <v/>
      </c>
      <c r="C7" s="15">
        <f>B7/$B$3</f>
        <v/>
      </c>
      <c r="D7" s="11">
        <f>SUMIFS(Bookings!$F$5:$F$200,Bookings!$G$5:$G$200,"&lt;="&amp;A7,Bookings!$H$5:$H$200,"&gt;"&amp;A7)</f>
        <v/>
      </c>
      <c r="E7" s="11">
        <f>IFERROR(D7/B7,0)</f>
        <v/>
      </c>
      <c r="F7" s="11">
        <f>D7/$B$3</f>
        <v/>
      </c>
    </row>
    <row r="8">
      <c r="A8" s="14">
        <f>A7+1</f>
        <v/>
      </c>
      <c r="B8" s="10">
        <f>COUNTIFS(Bookings!$G$5:$G$200,"&lt;="&amp;A8,Bookings!$H$5:$H$200,"&gt;"&amp;A8)</f>
        <v/>
      </c>
      <c r="C8" s="15">
        <f>B8/$B$3</f>
        <v/>
      </c>
      <c r="D8" s="11">
        <f>SUMIFS(Bookings!$F$5:$F$200,Bookings!$G$5:$G$200,"&lt;="&amp;A8,Bookings!$H$5:$H$200,"&gt;"&amp;A8)</f>
        <v/>
      </c>
      <c r="E8" s="11">
        <f>IFERROR(D8/B8,0)</f>
        <v/>
      </c>
      <c r="F8" s="11">
        <f>D8/$B$3</f>
        <v/>
      </c>
    </row>
    <row r="9">
      <c r="A9" s="14">
        <f>A8+1</f>
        <v/>
      </c>
      <c r="B9" s="10">
        <f>COUNTIFS(Bookings!$G$5:$G$200,"&lt;="&amp;A9,Bookings!$H$5:$H$200,"&gt;"&amp;A9)</f>
        <v/>
      </c>
      <c r="C9" s="15">
        <f>B9/$B$3</f>
        <v/>
      </c>
      <c r="D9" s="11">
        <f>SUMIFS(Bookings!$F$5:$F$200,Bookings!$G$5:$G$200,"&lt;="&amp;A9,Bookings!$H$5:$H$200,"&gt;"&amp;A9)</f>
        <v/>
      </c>
      <c r="E9" s="11">
        <f>IFERROR(D9/B9,0)</f>
        <v/>
      </c>
      <c r="F9" s="11">
        <f>D9/$B$3</f>
        <v/>
      </c>
    </row>
    <row r="10">
      <c r="A10" s="14">
        <f>A9+1</f>
        <v/>
      </c>
      <c r="B10" s="10">
        <f>COUNTIFS(Bookings!$G$5:$G$200,"&lt;="&amp;A10,Bookings!$H$5:$H$200,"&gt;"&amp;A10)</f>
        <v/>
      </c>
      <c r="C10" s="15">
        <f>B10/$B$3</f>
        <v/>
      </c>
      <c r="D10" s="11">
        <f>SUMIFS(Bookings!$F$5:$F$200,Bookings!$G$5:$G$200,"&lt;="&amp;A10,Bookings!$H$5:$H$200,"&gt;"&amp;A10)</f>
        <v/>
      </c>
      <c r="E10" s="11">
        <f>IFERROR(D10/B10,0)</f>
        <v/>
      </c>
      <c r="F10" s="11">
        <f>D10/$B$3</f>
        <v/>
      </c>
    </row>
    <row r="11">
      <c r="A11" s="14">
        <f>A10+1</f>
        <v/>
      </c>
      <c r="B11" s="10">
        <f>COUNTIFS(Bookings!$G$5:$G$200,"&lt;="&amp;A11,Bookings!$H$5:$H$200,"&gt;"&amp;A11)</f>
        <v/>
      </c>
      <c r="C11" s="15">
        <f>B11/$B$3</f>
        <v/>
      </c>
      <c r="D11" s="11">
        <f>SUMIFS(Bookings!$F$5:$F$200,Bookings!$G$5:$G$200,"&lt;="&amp;A11,Bookings!$H$5:$H$200,"&gt;"&amp;A11)</f>
        <v/>
      </c>
      <c r="E11" s="11">
        <f>IFERROR(D11/B11,0)</f>
        <v/>
      </c>
      <c r="F11" s="11">
        <f>D11/$B$3</f>
        <v/>
      </c>
    </row>
    <row r="12">
      <c r="A12" s="14">
        <f>A11+1</f>
        <v/>
      </c>
      <c r="B12" s="10">
        <f>COUNTIFS(Bookings!$G$5:$G$200,"&lt;="&amp;A12,Bookings!$H$5:$H$200,"&gt;"&amp;A12)</f>
        <v/>
      </c>
      <c r="C12" s="15">
        <f>B12/$B$3</f>
        <v/>
      </c>
      <c r="D12" s="11">
        <f>SUMIFS(Bookings!$F$5:$F$200,Bookings!$G$5:$G$200,"&lt;="&amp;A12,Bookings!$H$5:$H$200,"&gt;"&amp;A12)</f>
        <v/>
      </c>
      <c r="E12" s="11">
        <f>IFERROR(D12/B12,0)</f>
        <v/>
      </c>
      <c r="F12" s="11">
        <f>D12/$B$3</f>
        <v/>
      </c>
    </row>
    <row r="13">
      <c r="A13" s="14">
        <f>A12+1</f>
        <v/>
      </c>
      <c r="B13" s="10">
        <f>COUNTIFS(Bookings!$G$5:$G$200,"&lt;="&amp;A13,Bookings!$H$5:$H$200,"&gt;"&amp;A13)</f>
        <v/>
      </c>
      <c r="C13" s="15">
        <f>B13/$B$3</f>
        <v/>
      </c>
      <c r="D13" s="11">
        <f>SUMIFS(Bookings!$F$5:$F$200,Bookings!$G$5:$G$200,"&lt;="&amp;A13,Bookings!$H$5:$H$200,"&gt;"&amp;A13)</f>
        <v/>
      </c>
      <c r="E13" s="11">
        <f>IFERROR(D13/B13,0)</f>
        <v/>
      </c>
      <c r="F13" s="11">
        <f>D13/$B$3</f>
        <v/>
      </c>
    </row>
    <row r="14">
      <c r="A14" s="14">
        <f>A13+1</f>
        <v/>
      </c>
      <c r="B14" s="10">
        <f>COUNTIFS(Bookings!$G$5:$G$200,"&lt;="&amp;A14,Bookings!$H$5:$H$200,"&gt;"&amp;A14)</f>
        <v/>
      </c>
      <c r="C14" s="15">
        <f>B14/$B$3</f>
        <v/>
      </c>
      <c r="D14" s="11">
        <f>SUMIFS(Bookings!$F$5:$F$200,Bookings!$G$5:$G$200,"&lt;="&amp;A14,Bookings!$H$5:$H$200,"&gt;"&amp;A14)</f>
        <v/>
      </c>
      <c r="E14" s="11">
        <f>IFERROR(D14/B14,0)</f>
        <v/>
      </c>
      <c r="F14" s="11">
        <f>D14/$B$3</f>
        <v/>
      </c>
    </row>
    <row r="15">
      <c r="A15" s="14">
        <f>A14+1</f>
        <v/>
      </c>
      <c r="B15" s="10">
        <f>COUNTIFS(Bookings!$G$5:$G$200,"&lt;="&amp;A15,Bookings!$H$5:$H$200,"&gt;"&amp;A15)</f>
        <v/>
      </c>
      <c r="C15" s="15">
        <f>B15/$B$3</f>
        <v/>
      </c>
      <c r="D15" s="11">
        <f>SUMIFS(Bookings!$F$5:$F$200,Bookings!$G$5:$G$200,"&lt;="&amp;A15,Bookings!$H$5:$H$200,"&gt;"&amp;A15)</f>
        <v/>
      </c>
      <c r="E15" s="11">
        <f>IFERROR(D15/B15,0)</f>
        <v/>
      </c>
      <c r="F15" s="11">
        <f>D15/$B$3</f>
        <v/>
      </c>
    </row>
    <row r="16">
      <c r="A16" s="14">
        <f>A15+1</f>
        <v/>
      </c>
      <c r="B16" s="10">
        <f>COUNTIFS(Bookings!$G$5:$G$200,"&lt;="&amp;A16,Bookings!$H$5:$H$200,"&gt;"&amp;A16)</f>
        <v/>
      </c>
      <c r="C16" s="15">
        <f>B16/$B$3</f>
        <v/>
      </c>
      <c r="D16" s="11">
        <f>SUMIFS(Bookings!$F$5:$F$200,Bookings!$G$5:$G$200,"&lt;="&amp;A16,Bookings!$H$5:$H$200,"&gt;"&amp;A16)</f>
        <v/>
      </c>
      <c r="E16" s="11">
        <f>IFERROR(D16/B16,0)</f>
        <v/>
      </c>
      <c r="F16" s="11">
        <f>D16/$B$3</f>
        <v/>
      </c>
    </row>
    <row r="17">
      <c r="A17" s="14">
        <f>A16+1</f>
        <v/>
      </c>
      <c r="B17" s="10">
        <f>COUNTIFS(Bookings!$G$5:$G$200,"&lt;="&amp;A17,Bookings!$H$5:$H$200,"&gt;"&amp;A17)</f>
        <v/>
      </c>
      <c r="C17" s="15">
        <f>B17/$B$3</f>
        <v/>
      </c>
      <c r="D17" s="11">
        <f>SUMIFS(Bookings!$F$5:$F$200,Bookings!$G$5:$G$200,"&lt;="&amp;A17,Bookings!$H$5:$H$200,"&gt;"&amp;A17)</f>
        <v/>
      </c>
      <c r="E17" s="11">
        <f>IFERROR(D17/B17,0)</f>
        <v/>
      </c>
      <c r="F17" s="11">
        <f>D17/$B$3</f>
        <v/>
      </c>
    </row>
    <row r="18">
      <c r="A18" s="14">
        <f>A17+1</f>
        <v/>
      </c>
      <c r="B18" s="10">
        <f>COUNTIFS(Bookings!$G$5:$G$200,"&lt;="&amp;A18,Bookings!$H$5:$H$200,"&gt;"&amp;A18)</f>
        <v/>
      </c>
      <c r="C18" s="15">
        <f>B18/$B$3</f>
        <v/>
      </c>
      <c r="D18" s="11">
        <f>SUMIFS(Bookings!$F$5:$F$200,Bookings!$G$5:$G$200,"&lt;="&amp;A18,Bookings!$H$5:$H$200,"&gt;"&amp;A18)</f>
        <v/>
      </c>
      <c r="E18" s="11">
        <f>IFERROR(D18/B18,0)</f>
        <v/>
      </c>
      <c r="F18" s="11">
        <f>D18/$B$3</f>
        <v/>
      </c>
    </row>
    <row r="19">
      <c r="A19" s="14">
        <f>A18+1</f>
        <v/>
      </c>
      <c r="B19" s="10">
        <f>COUNTIFS(Bookings!$G$5:$G$200,"&lt;="&amp;A19,Bookings!$H$5:$H$200,"&gt;"&amp;A19)</f>
        <v/>
      </c>
      <c r="C19" s="15">
        <f>B19/$B$3</f>
        <v/>
      </c>
      <c r="D19" s="11">
        <f>SUMIFS(Bookings!$F$5:$F$200,Bookings!$G$5:$G$200,"&lt;="&amp;A19,Bookings!$H$5:$H$200,"&gt;"&amp;A19)</f>
        <v/>
      </c>
      <c r="E19" s="11">
        <f>IFERROR(D19/B19,0)</f>
        <v/>
      </c>
      <c r="F19" s="11">
        <f>D19/$B$3</f>
        <v/>
      </c>
    </row>
    <row r="20">
      <c r="A20" s="14">
        <f>A19+1</f>
        <v/>
      </c>
      <c r="B20" s="10">
        <f>COUNTIFS(Bookings!$G$5:$G$200,"&lt;="&amp;A20,Bookings!$H$5:$H$200,"&gt;"&amp;A20)</f>
        <v/>
      </c>
      <c r="C20" s="15">
        <f>B20/$B$3</f>
        <v/>
      </c>
      <c r="D20" s="11">
        <f>SUMIFS(Bookings!$F$5:$F$200,Bookings!$G$5:$G$200,"&lt;="&amp;A20,Bookings!$H$5:$H$200,"&gt;"&amp;A20)</f>
        <v/>
      </c>
      <c r="E20" s="11">
        <f>IFERROR(D20/B20,0)</f>
        <v/>
      </c>
      <c r="F20" s="11">
        <f>D20/$B$3</f>
        <v/>
      </c>
    </row>
    <row r="21">
      <c r="A21" s="14">
        <f>A20+1</f>
        <v/>
      </c>
      <c r="B21" s="10">
        <f>COUNTIFS(Bookings!$G$5:$G$200,"&lt;="&amp;A21,Bookings!$H$5:$H$200,"&gt;"&amp;A21)</f>
        <v/>
      </c>
      <c r="C21" s="15">
        <f>B21/$B$3</f>
        <v/>
      </c>
      <c r="D21" s="11">
        <f>SUMIFS(Bookings!$F$5:$F$200,Bookings!$G$5:$G$200,"&lt;="&amp;A21,Bookings!$H$5:$H$200,"&gt;"&amp;A21)</f>
        <v/>
      </c>
      <c r="E21" s="11">
        <f>IFERROR(D21/B21,0)</f>
        <v/>
      </c>
      <c r="F21" s="11">
        <f>D21/$B$3</f>
        <v/>
      </c>
    </row>
    <row r="22">
      <c r="A22" s="14">
        <f>A21+1</f>
        <v/>
      </c>
      <c r="B22" s="10">
        <f>COUNTIFS(Bookings!$G$5:$G$200,"&lt;="&amp;A22,Bookings!$H$5:$H$200,"&gt;"&amp;A22)</f>
        <v/>
      </c>
      <c r="C22" s="15">
        <f>B22/$B$3</f>
        <v/>
      </c>
      <c r="D22" s="11">
        <f>SUMIFS(Bookings!$F$5:$F$200,Bookings!$G$5:$G$200,"&lt;="&amp;A22,Bookings!$H$5:$H$200,"&gt;"&amp;A22)</f>
        <v/>
      </c>
      <c r="E22" s="11">
        <f>IFERROR(D22/B22,0)</f>
        <v/>
      </c>
      <c r="F22" s="11">
        <f>D22/$B$3</f>
        <v/>
      </c>
    </row>
    <row r="23">
      <c r="A23" s="16" t="inlineStr">
        <is>
          <t>Period</t>
        </is>
      </c>
      <c r="B23" s="16">
        <f>SUM(B6:B22)</f>
        <v/>
      </c>
      <c r="C23" s="17">
        <f>B23/($B$3*COUNT(A6:A22))</f>
        <v/>
      </c>
      <c r="D23" s="18">
        <f>SUM(D6:D22)</f>
        <v/>
      </c>
      <c r="E23" s="18">
        <f>D23/B23</f>
        <v/>
      </c>
      <c r="F23" s="18">
        <f>D23/($B$3*COUNT(A6:A22))</f>
        <v/>
      </c>
    </row>
  </sheetData>
  <conditionalFormatting sqref="C6:C22">
    <cfRule type="colorScale" priority="1">
      <colorScale>
        <cfvo type="num" val="0"/>
        <cfvo type="num" val="0.6"/>
        <cfvo type="num" val="1"/>
        <color rgb="00F8696B"/>
        <color rgb="00FFEB84"/>
        <color rgb="0063BE7B"/>
      </colorScale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24" customWidth="1" min="1" max="1"/>
    <col width="22" customWidth="1" min="2" max="2"/>
    <col width="8" customWidth="1" min="3" max="3"/>
    <col width="30" customWidth="1" min="4" max="4"/>
  </cols>
  <sheetData>
    <row r="1">
      <c r="A1" s="1" t="inlineStr">
        <is>
          <t>Room bill</t>
        </is>
      </c>
    </row>
    <row r="2">
      <c r="A2" s="2" t="inlineStr">
        <is>
          <t>Pick a booking in B4; print A1:D22.</t>
        </is>
      </c>
    </row>
    <row r="4">
      <c r="A4" s="3" t="inlineStr">
        <is>
          <t>Booking</t>
        </is>
      </c>
      <c r="B4" s="5" t="inlineStr">
        <is>
          <t>H-327</t>
        </is>
      </c>
      <c r="C4" s="3" t="inlineStr">
        <is>
          <t>Hotel</t>
        </is>
      </c>
      <c r="D4" s="10">
        <f>Setup!B4</f>
        <v/>
      </c>
    </row>
    <row r="6">
      <c r="A6" s="3" t="inlineStr">
        <is>
          <t>Guest</t>
        </is>
      </c>
      <c r="B6" s="10">
        <f>_xlfn.XLOOKUP($B$4,Bookings!$A$5:$A$200,Bookings!$B$5:$B$200)</f>
        <v/>
      </c>
    </row>
    <row r="7">
      <c r="A7" s="3" t="inlineStr">
        <is>
          <t>Room</t>
        </is>
      </c>
      <c r="B7" s="10">
        <f>_xlfn.XLOOKUP($B$4,Bookings!$A$5:$A$200,Bookings!$D$5:$D$200)</f>
        <v/>
      </c>
    </row>
    <row r="8">
      <c r="A8" s="3" t="inlineStr">
        <is>
          <t>Room type</t>
        </is>
      </c>
      <c r="B8" s="10">
        <f>_xlfn.XLOOKUP($B$4,Bookings!$A$5:$A$200,Bookings!$E$5:$E$200)</f>
        <v/>
      </c>
    </row>
    <row r="9">
      <c r="A9" s="3" t="inlineStr">
        <is>
          <t>Check-in</t>
        </is>
      </c>
      <c r="B9" s="14">
        <f>_xlfn.XLOOKUP($B$4,Bookings!$A$5:$A$200,Bookings!$G$5:$G$200)</f>
        <v/>
      </c>
    </row>
    <row r="10">
      <c r="A10" s="3" t="inlineStr">
        <is>
          <t>Check-out</t>
        </is>
      </c>
      <c r="B10" s="14">
        <f>_xlfn.XLOOKUP($B$4,Bookings!$A$5:$A$200,Bookings!$H$5:$H$200)</f>
        <v/>
      </c>
    </row>
    <row r="11">
      <c r="A11" s="3" t="inlineStr">
        <is>
          <t>Nights</t>
        </is>
      </c>
      <c r="B11" s="10">
        <f>_xlfn.XLOOKUP($B$4,Bookings!$A$5:$A$200,Bookings!$I$5:$I$200)</f>
        <v/>
      </c>
    </row>
    <row r="12">
      <c r="A12" s="3" t="inlineStr">
        <is>
          <t>Rate per night</t>
        </is>
      </c>
      <c r="B12" s="11">
        <f>_xlfn.XLOOKUP($B$4,Bookings!$A$5:$A$200,Bookings!$F$5:$F$200)</f>
        <v/>
      </c>
    </row>
    <row r="13">
      <c r="A13" s="3" t="inlineStr">
        <is>
          <t>Room amount</t>
        </is>
      </c>
      <c r="B13" s="11">
        <f>_xlfn.XLOOKUP($B$4,Bookings!$A$5:$A$200,Bookings!$J$5:$J$200)</f>
        <v/>
      </c>
    </row>
    <row r="15">
      <c r="A15" s="3" t="inlineStr">
        <is>
          <t>GST rate</t>
        </is>
      </c>
      <c r="B15" s="12">
        <f>_xlfn.XLOOKUP($B$4,Bookings!$A$5:$A$200,Bookings!$K$5:$K$200)</f>
        <v/>
      </c>
    </row>
    <row r="16">
      <c r="A16" s="3" t="inlineStr">
        <is>
          <t>CGST</t>
        </is>
      </c>
      <c r="B16" s="13">
        <f>ROUND(_xlfn.XLOOKUP($B$4,Bookings!$A$5:$A$200,Bookings!$L$5:$L$200)/2,2)</f>
        <v/>
      </c>
    </row>
    <row r="17">
      <c r="A17" s="3" t="inlineStr">
        <is>
          <t>SGST</t>
        </is>
      </c>
      <c r="B17" s="13">
        <f>_xlfn.XLOOKUP($B$4,Bookings!$A$5:$A$200,Bookings!$L$5:$L$200)-B16</f>
        <v/>
      </c>
    </row>
    <row r="18">
      <c r="A18" s="3" t="inlineStr">
        <is>
          <t>Extras (food, laundry)</t>
        </is>
      </c>
      <c r="B18" s="11">
        <f>_xlfn.XLOOKUP($B$4,Bookings!$A$5:$A$200,Bookings!$M$5:$M$200)</f>
        <v/>
      </c>
    </row>
    <row r="19">
      <c r="A19" s="16" t="inlineStr">
        <is>
          <t>Total</t>
        </is>
      </c>
      <c r="B19" s="19">
        <f>B13+B16+B17+B18</f>
        <v/>
      </c>
    </row>
    <row r="20">
      <c r="A20" s="3" t="inlineStr">
        <is>
          <t>Advance received</t>
        </is>
      </c>
      <c r="B20" s="11">
        <f>_xlfn.XLOOKUP($B$4,Bookings!$A$5:$A$200,Bookings!$O$5:$O$200)</f>
        <v/>
      </c>
    </row>
    <row r="21">
      <c r="A21" s="16" t="inlineStr">
        <is>
          <t>Balance to pay</t>
        </is>
      </c>
      <c r="B21" s="20">
        <f>B19-B20</f>
        <v/>
      </c>
    </row>
    <row r="22">
      <c r="A22" s="2" t="inlineStr">
        <is>
          <t>Thank you for staying with us.</t>
        </is>
      </c>
    </row>
  </sheetData>
  <dataValidations count="1">
    <dataValidation sqref="B4" showDropDown="0" showInputMessage="0" showErrorMessage="1" allowBlank="1" errorTitle="Not in the list" error="Pick a value from the list" type="list">
      <formula1>=Bookings!$A$5:$A$200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5" customWidth="1" min="3" max="3"/>
    <col width="15" customWidth="1" min="4" max="4"/>
    <col width="14" customWidth="1" min="5" max="5"/>
  </cols>
  <sheetData>
    <row r="1">
      <c r="A1" s="1" t="inlineStr">
        <is>
          <t>Room type and source report</t>
        </is>
      </c>
    </row>
    <row r="2">
      <c r="A2" s="2" t="inlineStr">
        <is>
          <t>SUMIFS and COUNTIFS over Bookings (all stays in the sheet).</t>
        </is>
      </c>
    </row>
    <row r="4">
      <c r="A4" s="8" t="inlineStr">
        <is>
          <t>Room type</t>
        </is>
      </c>
      <c r="B4" s="8" t="inlineStr">
        <is>
          <t>Bookings</t>
        </is>
      </c>
      <c r="C4" s="8" t="inlineStr">
        <is>
          <t>Nights</t>
        </is>
      </c>
      <c r="D4" s="8" t="inlineStr">
        <is>
          <t>Room revenue (₹)</t>
        </is>
      </c>
      <c r="E4" s="8" t="inlineStr">
        <is>
          <t>Average rate (₹)</t>
        </is>
      </c>
    </row>
    <row r="5">
      <c r="A5" s="10">
        <f>Setup!E11</f>
        <v/>
      </c>
      <c r="B5" s="10">
        <f>COUNTIF(Bookings!$E$5:$E$200,A5)</f>
        <v/>
      </c>
      <c r="C5" s="10">
        <f>SUMIFS(Bookings!$I$5:$I$200,Bookings!$E$5:$E$200,A5)</f>
        <v/>
      </c>
      <c r="D5" s="11">
        <f>SUMIFS(Bookings!$J$5:$J$200,Bookings!$E$5:$E$200,A5)</f>
        <v/>
      </c>
      <c r="E5" s="11">
        <f>IFERROR(D5/C5,0)</f>
        <v/>
      </c>
    </row>
    <row r="6">
      <c r="A6" s="10">
        <f>Setup!E12</f>
        <v/>
      </c>
      <c r="B6" s="10">
        <f>COUNTIF(Bookings!$E$5:$E$200,A6)</f>
        <v/>
      </c>
      <c r="C6" s="10">
        <f>SUMIFS(Bookings!$I$5:$I$200,Bookings!$E$5:$E$200,A6)</f>
        <v/>
      </c>
      <c r="D6" s="11">
        <f>SUMIFS(Bookings!$J$5:$J$200,Bookings!$E$5:$E$200,A6)</f>
        <v/>
      </c>
      <c r="E6" s="11">
        <f>IFERROR(D6/C6,0)</f>
        <v/>
      </c>
    </row>
    <row r="7">
      <c r="A7" s="10">
        <f>Setup!E13</f>
        <v/>
      </c>
      <c r="B7" s="10">
        <f>COUNTIF(Bookings!$E$5:$E$200,A7)</f>
        <v/>
      </c>
      <c r="C7" s="10">
        <f>SUMIFS(Bookings!$I$5:$I$200,Bookings!$E$5:$E$200,A7)</f>
        <v/>
      </c>
      <c r="D7" s="11">
        <f>SUMIFS(Bookings!$J$5:$J$200,Bookings!$E$5:$E$200,A7)</f>
        <v/>
      </c>
      <c r="E7" s="11">
        <f>IFERROR(D7/C7,0)</f>
        <v/>
      </c>
    </row>
    <row r="9">
      <c r="A9" s="8" t="inlineStr">
        <is>
          <t>Source</t>
        </is>
      </c>
      <c r="B9" s="8" t="inlineStr">
        <is>
          <t>Bookings</t>
        </is>
      </c>
      <c r="C9" s="8" t="inlineStr">
        <is>
          <t>Room revenue (₹)</t>
        </is>
      </c>
      <c r="D9" s="8" t="inlineStr">
        <is>
          <t>Share</t>
        </is>
      </c>
    </row>
    <row r="10">
      <c r="A10" s="10">
        <f>Setup!F11</f>
        <v/>
      </c>
      <c r="B10" s="10">
        <f>COUNTIF(Bookings!$C$5:$C$200,A10)</f>
        <v/>
      </c>
      <c r="C10" s="11">
        <f>SUMIFS(Bookings!$J$5:$J$200,Bookings!$C$5:$C$200,A10)</f>
        <v/>
      </c>
      <c r="D10" s="15">
        <f>C10/SUM($C$10:$C$12)</f>
        <v/>
      </c>
    </row>
    <row r="11">
      <c r="A11" s="10">
        <f>Setup!F12</f>
        <v/>
      </c>
      <c r="B11" s="10">
        <f>COUNTIF(Bookings!$C$5:$C$200,A11)</f>
        <v/>
      </c>
      <c r="C11" s="11">
        <f>SUMIFS(Bookings!$J$5:$J$200,Bookings!$C$5:$C$200,A11)</f>
        <v/>
      </c>
      <c r="D11" s="15">
        <f>C11/SUM($C$10:$C$12)</f>
        <v/>
      </c>
    </row>
    <row r="12">
      <c r="A12" s="10">
        <f>Setup!F13</f>
        <v/>
      </c>
      <c r="B12" s="10">
        <f>COUNTIF(Bookings!$C$5:$C$200,A12)</f>
        <v/>
      </c>
      <c r="C12" s="11">
        <f>SUMIFS(Bookings!$J$5:$J$200,Bookings!$C$5:$C$200,A12)</f>
        <v/>
      </c>
      <c r="D12" s="15">
        <f>C12/SUM($C$10:$C$12)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Hotel dashboard: 1 to 17 October 2026</t>
        </is>
      </c>
    </row>
    <row r="2">
      <c r="A2" s="2" t="inlineStr">
        <is>
          <t>Formulas over Occupancy and Bookings.</t>
        </is>
      </c>
    </row>
    <row r="4" ht="32" customHeight="1">
      <c r="A4" s="8" t="inlineStr">
        <is>
          <t>Occupancy (period)</t>
        </is>
      </c>
      <c r="B4" s="8" t="inlineStr">
        <is>
          <t>ADR</t>
        </is>
      </c>
      <c r="C4" s="8" t="inlineStr">
        <is>
          <t>RevPAR</t>
        </is>
      </c>
      <c r="D4" s="8" t="inlineStr">
        <is>
          <t>Room revenue (period)</t>
        </is>
      </c>
      <c r="E4" s="8" t="inlineStr">
        <is>
          <t>Guests in house</t>
        </is>
      </c>
      <c r="F4" s="8" t="inlineStr">
        <is>
          <t>Upcoming arrivals</t>
        </is>
      </c>
      <c r="G4" s="8" t="inlineStr">
        <is>
          <t>Balance due from in-house guests</t>
        </is>
      </c>
    </row>
    <row r="5" ht="30" customHeight="1">
      <c r="A5" s="21">
        <f>Occupancy!C23</f>
        <v/>
      </c>
      <c r="B5" s="22">
        <f>Occupancy!E23</f>
        <v/>
      </c>
      <c r="C5" s="22">
        <f>Occupancy!F23</f>
        <v/>
      </c>
      <c r="D5" s="22">
        <f>Occupancy!D23</f>
        <v/>
      </c>
      <c r="E5" s="23">
        <f>COUNTIF(Bookings!$Q$5:$Q$200,"In house")</f>
        <v/>
      </c>
      <c r="F5" s="23">
        <f>COUNTIF(Bookings!$Q$5:$Q$200,"Upcoming")</f>
        <v/>
      </c>
      <c r="G5" s="22">
        <f>SUMIFS(Bookings!$P$5:$P$200,Bookings!$Q$5:$Q$200,"In house")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2026-10-17T05:37:24Z</dcterms:created>
  <dcterms:modified xmlns:dcterms="http://purl.org/dc/terms/" xmlns:xsi="http://www.w3.org/2001/XMLSchema-instance" xsi:type="dcterms:W3CDTF">2026-10-17T05:37:24Z</dcterms:modified>
</cp:coreProperties>
</file>