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Items" sheetId="3" state="visible" r:id="rId3"/>
    <sheet xmlns:r="http://schemas.openxmlformats.org/officeDocument/2006/relationships" name="Customers" sheetId="4" state="visible" r:id="rId4"/>
    <sheet xmlns:r="http://schemas.openxmlformats.org/officeDocument/2006/relationships" name="Invoices" sheetId="5" state="visible" r:id="rId5"/>
    <sheet xmlns:r="http://schemas.openxmlformats.org/officeDocument/2006/relationships" name="Payments" sheetId="6" state="visible" r:id="rId6"/>
    <sheet xmlns:r="http://schemas.openxmlformats.org/officeDocument/2006/relationships" name="Ledger" sheetId="7" state="visible" r:id="rId7"/>
    <sheet xmlns:r="http://schemas.openxmlformats.org/officeDocument/2006/relationships" name="Stock" sheetId="8" state="visible" r:id="rId8"/>
    <sheet xmlns:r="http://schemas.openxmlformats.org/officeDocument/2006/relationships" name="Tax invoice" sheetId="9" state="visible" r:id="rId9"/>
    <sheet xmlns:r="http://schemas.openxmlformats.org/officeDocument/2006/relationships" name="Dashboard" sheetId="10" state="visible" r:id="rId10"/>
  </sheets>
  <definedNames>
    <definedName name="_xlnm.Print_Area" localSheetId="8">'Tax invoice'!$A$1:$F$18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0.0%"/>
    <numFmt numFmtId="168" formatCode="[$₹-4009]#,##,##0.0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166" fontId="0" fillId="2" borderId="1" pivotButton="0" quotePrefix="0" xfId="0"/>
    <xf numFmtId="167" fontId="0" fillId="2" borderId="1" pivotButton="0" quotePrefix="0" xfId="0"/>
    <xf numFmtId="0" fontId="0" fillId="4" borderId="1" pivotButton="0" quotePrefix="0" xfId="0"/>
    <xf numFmtId="166" fontId="0" fillId="4" borderId="1" pivotButton="0" quotePrefix="0" xfId="0"/>
    <xf numFmtId="168" fontId="0" fillId="4" borderId="1" pivotButton="0" quotePrefix="0" xfId="0"/>
    <xf numFmtId="168" fontId="0" fillId="2" borderId="1" pivotButton="0" quotePrefix="0" xfId="0"/>
    <xf numFmtId="0" fontId="3" fillId="5" borderId="1" pivotButton="0" quotePrefix="0" xfId="0"/>
    <xf numFmtId="166" fontId="3" fillId="5" borderId="1" pivotButton="0" quotePrefix="0" xfId="0"/>
    <xf numFmtId="167" fontId="0" fillId="4" borderId="1" pivotButton="0" quotePrefix="0" xfId="0"/>
    <xf numFmtId="165" fontId="0" fillId="4" borderId="1" pivotButton="0" quotePrefix="0" xfId="0"/>
    <xf numFmtId="0" fontId="0" fillId="0" borderId="1" pivotButton="0" quotePrefix="0" xfId="0"/>
    <xf numFmtId="168" fontId="3" fillId="5" borderId="1" pivotButton="0" quotePrefix="0" xfId="0"/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FE8B3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by 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'Ledger'!F4</f>
            </strRef>
          </tx>
          <spPr>
            <a:ln xmlns:a="http://schemas.openxmlformats.org/drawingml/2006/main">
              <a:prstDash val="solid"/>
            </a:ln>
          </spPr>
          <cat>
            <numRef>
              <f>'Ledger'!$B$5:$B$7</f>
            </numRef>
          </cat>
          <val>
            <numRef>
              <f>'Ledger'!$F$5:$F$7</f>
            </numRef>
          </val>
        </ser>
        <ser>
          <idx val="1"/>
          <order val="1"/>
          <tx>
            <strRef>
              <f>'Ledger'!G4</f>
            </strRef>
          </tx>
          <spPr>
            <a:ln xmlns:a="http://schemas.openxmlformats.org/drawingml/2006/main">
              <a:prstDash val="solid"/>
            </a:ln>
          </spPr>
          <cat>
            <numRef>
              <f>'Ledger'!$B$5:$B$7</f>
            </numRef>
          </cat>
          <val>
            <numRef>
              <f>'Ledger'!$G$5:$G$7</f>
            </numRef>
          </val>
        </ser>
        <ser>
          <idx val="2"/>
          <order val="2"/>
          <tx>
            <strRef>
              <f>'Ledger'!H4</f>
            </strRef>
          </tx>
          <spPr>
            <a:ln xmlns:a="http://schemas.openxmlformats.org/drawingml/2006/main">
              <a:prstDash val="solid"/>
            </a:ln>
          </spPr>
          <cat>
            <numRef>
              <f>'Ledger'!$B$5:$B$7</f>
            </numRef>
          </cat>
          <val>
            <numRef>
              <f>'Ledger'!$H$5:$H$7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margin by item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'Stock'!$B$5:$B$10</f>
            </numRef>
          </cat>
          <val>
            <numRef>
              <f>'Stock'!$H$5:$H$10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Hardware store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Setup, Items (cost, price, GST %), Customers (credit terms), Invoices, Payments, Ledger (ageing), Stock, Tax invoice (printable), Dashboard.</t>
        </is>
      </c>
    </row>
    <row r="8">
      <c r="A8" t="inlineStr">
        <is>
          <t>GST rates per item are inputs; confirm each rate for your goods.</t>
        </is>
      </c>
    </row>
    <row r="9">
      <c r="A9" t="inlineStr">
        <is>
          <t>Record every payment against the customer ID the day it comes 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</cols>
  <sheetData>
    <row r="1">
      <c r="A1" s="1" t="inlineStr">
        <is>
          <t>Hardware Store Management System: Setup (Amir Hardware, Sambhaji Nagar)</t>
        </is>
      </c>
    </row>
    <row r="2">
      <c r="A2" s="2" t="inlineStr">
        <is>
          <t>Made-up items, contractors, invoices and payments from August to October 2026. GST rates are inputs; confirm each item's rate.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Store</t>
        </is>
      </c>
      <c r="B4" s="5" t="inlineStr">
        <is>
          <t>Amir Hardware, Sambhaji Nagar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6" customWidth="1" min="3" max="3"/>
    <col width="9" customWidth="1" min="4" max="4"/>
    <col width="9" customWidth="1" min="5" max="5"/>
    <col width="7" customWidth="1" min="6" max="6"/>
    <col width="8" customWidth="1" min="7" max="7"/>
    <col width="12" customWidth="1" min="8" max="8"/>
  </cols>
  <sheetData>
    <row r="1">
      <c r="A1" s="1" t="inlineStr">
        <is>
          <t>Items</t>
        </is>
      </c>
    </row>
    <row r="2">
      <c r="A2" s="2" t="inlineStr">
        <is>
          <t>Rates before GST. GST % per item is an input.</t>
        </is>
      </c>
    </row>
    <row r="4">
      <c r="A4" s="6" t="inlineStr">
        <is>
          <t>Code</t>
        </is>
      </c>
      <c r="B4" s="6" t="inlineStr">
        <is>
          <t>Item</t>
        </is>
      </c>
      <c r="C4" s="6" t="inlineStr">
        <is>
          <t>Unit</t>
        </is>
      </c>
      <c r="D4" s="6" t="inlineStr">
        <is>
          <t>Cost (₹)</t>
        </is>
      </c>
      <c r="E4" s="6" t="inlineStr">
        <is>
          <t>Price (₹)</t>
        </is>
      </c>
      <c r="F4" s="6" t="inlineStr">
        <is>
          <t>GST %</t>
        </is>
      </c>
      <c r="G4" s="6" t="inlineStr">
        <is>
          <t>Opening</t>
        </is>
      </c>
      <c r="H4" s="6" t="inlineStr">
        <is>
          <t>Reorder level</t>
        </is>
      </c>
    </row>
    <row r="5">
      <c r="A5" s="5" t="inlineStr">
        <is>
          <t>H01</t>
        </is>
      </c>
      <c r="B5" s="5" t="inlineStr">
        <is>
          <t>PVC pipe 1 in (3 m)</t>
        </is>
      </c>
      <c r="C5" s="5" t="inlineStr">
        <is>
          <t>pc</t>
        </is>
      </c>
      <c r="D5" s="7" t="n">
        <v>180</v>
      </c>
      <c r="E5" s="7" t="n">
        <v>240</v>
      </c>
      <c r="F5" s="8" t="n">
        <v>0.18</v>
      </c>
      <c r="G5" s="5" t="n">
        <v>300</v>
      </c>
      <c r="H5" s="5" t="n">
        <v>60</v>
      </c>
    </row>
    <row r="6">
      <c r="A6" s="5" t="inlineStr">
        <is>
          <t>H02</t>
        </is>
      </c>
      <c r="B6" s="5" t="inlineStr">
        <is>
          <t>Wall paint 20 L</t>
        </is>
      </c>
      <c r="C6" s="5" t="inlineStr">
        <is>
          <t>tin</t>
        </is>
      </c>
      <c r="D6" s="7" t="n">
        <v>3200</v>
      </c>
      <c r="E6" s="7" t="n">
        <v>3900</v>
      </c>
      <c r="F6" s="8" t="n">
        <v>0.18</v>
      </c>
      <c r="G6" s="5" t="n">
        <v>40</v>
      </c>
      <c r="H6" s="5" t="n">
        <v>15</v>
      </c>
    </row>
    <row r="7">
      <c r="A7" s="5" t="inlineStr">
        <is>
          <t>H03</t>
        </is>
      </c>
      <c r="B7" s="5" t="inlineStr">
        <is>
          <t>Door hinge 4 in</t>
        </is>
      </c>
      <c r="C7" s="5" t="inlineStr">
        <is>
          <t>pair</t>
        </is>
      </c>
      <c r="D7" s="7" t="n">
        <v>55</v>
      </c>
      <c r="E7" s="7" t="n">
        <v>85</v>
      </c>
      <c r="F7" s="8" t="n">
        <v>0.18</v>
      </c>
      <c r="G7" s="5" t="n">
        <v>400</v>
      </c>
      <c r="H7" s="5" t="n">
        <v>80</v>
      </c>
    </row>
    <row r="8">
      <c r="A8" s="5" t="inlineStr">
        <is>
          <t>H04</t>
        </is>
      </c>
      <c r="B8" s="5" t="inlineStr">
        <is>
          <t>Electrical wire 90 m</t>
        </is>
      </c>
      <c r="C8" s="5" t="inlineStr">
        <is>
          <t>coil</t>
        </is>
      </c>
      <c r="D8" s="7" t="n">
        <v>1350</v>
      </c>
      <c r="E8" s="7" t="n">
        <v>1650</v>
      </c>
      <c r="F8" s="8" t="n">
        <v>0.18</v>
      </c>
      <c r="G8" s="5" t="n">
        <v>60</v>
      </c>
      <c r="H8" s="5" t="n">
        <v>12</v>
      </c>
    </row>
    <row r="9">
      <c r="A9" s="5" t="inlineStr">
        <is>
          <t>H05</t>
        </is>
      </c>
      <c r="B9" s="5" t="inlineStr">
        <is>
          <t>Tile adhesive 20 kg</t>
        </is>
      </c>
      <c r="C9" s="5" t="inlineStr">
        <is>
          <t>bag</t>
        </is>
      </c>
      <c r="D9" s="7" t="n">
        <v>380</v>
      </c>
      <c r="E9" s="7" t="n">
        <v>470</v>
      </c>
      <c r="F9" s="8" t="n">
        <v>0.18</v>
      </c>
      <c r="G9" s="5" t="n">
        <v>120</v>
      </c>
      <c r="H9" s="5" t="n">
        <v>25</v>
      </c>
    </row>
    <row r="10">
      <c r="A10" s="5" t="inlineStr">
        <is>
          <t>H06</t>
        </is>
      </c>
      <c r="B10" s="5" t="inlineStr">
        <is>
          <t>Drill bit set</t>
        </is>
      </c>
      <c r="C10" s="5" t="inlineStr">
        <is>
          <t>set</t>
        </is>
      </c>
      <c r="D10" s="7" t="n">
        <v>420</v>
      </c>
      <c r="E10" s="7" t="n">
        <v>600</v>
      </c>
      <c r="F10" s="8" t="n">
        <v>0.18</v>
      </c>
      <c r="G10" s="5" t="n">
        <v>30</v>
      </c>
      <c r="H10" s="5" t="n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11" customWidth="1" min="3" max="3"/>
    <col width="14" customWidth="1" min="4" max="4"/>
    <col width="11" customWidth="1" min="5" max="5"/>
  </cols>
  <sheetData>
    <row r="1">
      <c r="A1" s="1" t="inlineStr">
        <is>
          <t>Customers and credit terms</t>
        </is>
      </c>
    </row>
    <row r="2">
      <c r="A2" s="2" t="inlineStr">
        <is>
          <t>Credit limit and days are your terms for each contractor.</t>
        </is>
      </c>
    </row>
    <row r="4">
      <c r="A4" s="6" t="inlineStr">
        <is>
          <t>Customer ID</t>
        </is>
      </c>
      <c r="B4" s="6" t="inlineStr">
        <is>
          <t>Customer</t>
        </is>
      </c>
      <c r="C4" s="6" t="inlineStr">
        <is>
          <t>Type</t>
        </is>
      </c>
      <c r="D4" s="6" t="inlineStr">
        <is>
          <t>Credit limit (₹)</t>
        </is>
      </c>
      <c r="E4" s="6" t="inlineStr">
        <is>
          <t>Credit days</t>
        </is>
      </c>
    </row>
    <row r="5">
      <c r="A5" s="5" t="inlineStr">
        <is>
          <t>K01</t>
        </is>
      </c>
      <c r="B5" s="5" t="inlineStr">
        <is>
          <t>Raja Constructions</t>
        </is>
      </c>
      <c r="C5" s="5" t="inlineStr">
        <is>
          <t>Contractor</t>
        </is>
      </c>
      <c r="D5" s="7" t="n">
        <v>150000</v>
      </c>
      <c r="E5" s="5" t="n">
        <v>30</v>
      </c>
    </row>
    <row r="6">
      <c r="A6" s="5" t="inlineStr">
        <is>
          <t>K02</t>
        </is>
      </c>
      <c r="B6" s="5" t="inlineStr">
        <is>
          <t>Salman Builders</t>
        </is>
      </c>
      <c r="C6" s="5" t="inlineStr">
        <is>
          <t>Contractor</t>
        </is>
      </c>
      <c r="D6" s="7" t="n">
        <v>100000</v>
      </c>
      <c r="E6" s="5" t="n">
        <v>30</v>
      </c>
    </row>
    <row r="7">
      <c r="A7" s="5" t="inlineStr">
        <is>
          <t>K03</t>
        </is>
      </c>
      <c r="B7" s="5" t="inlineStr">
        <is>
          <t>Shahrukh Interiors</t>
        </is>
      </c>
      <c r="C7" s="5" t="inlineStr">
        <is>
          <t>Contractor</t>
        </is>
      </c>
      <c r="D7" s="7" t="n">
        <v>60000</v>
      </c>
      <c r="E7" s="5" t="n">
        <v>15</v>
      </c>
    </row>
    <row r="8">
      <c r="A8" s="5" t="inlineStr">
        <is>
          <t>K04</t>
        </is>
      </c>
      <c r="B8" s="5" t="inlineStr">
        <is>
          <t>Cash customer</t>
        </is>
      </c>
      <c r="C8" s="5" t="inlineStr">
        <is>
          <t>Walk-in</t>
        </is>
      </c>
      <c r="D8" s="7" t="n">
        <v>0</v>
      </c>
      <c r="E8" s="5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6" customWidth="1" min="4" max="4"/>
    <col width="20" customWidth="1" min="5" max="5"/>
    <col width="5" customWidth="1" min="6" max="6"/>
    <col width="9" customWidth="1" min="7" max="7"/>
    <col width="11" customWidth="1" min="8" max="8"/>
    <col width="10" customWidth="1" min="9" max="9"/>
    <col width="11" customWidth="1" min="10" max="10"/>
    <col width="10" customWidth="1" min="11" max="11"/>
    <col width="10" customWidth="1" min="12" max="12"/>
  </cols>
  <sheetData>
    <row r="1">
      <c r="A1" s="1" t="inlineStr">
        <is>
          <t>Sales invoice lines</t>
        </is>
      </c>
    </row>
    <row r="2">
      <c r="A2" s="2" t="inlineStr">
        <is>
          <t>One row per item per invoice. Taxable = qty × price; GST at the item rate; split into CGST and SGST for a sale within Maharashtra.</t>
        </is>
      </c>
    </row>
    <row r="4">
      <c r="A4" s="6" t="inlineStr">
        <is>
          <t>Date</t>
        </is>
      </c>
      <c r="B4" s="6" t="inlineStr">
        <is>
          <t>Invoice no</t>
        </is>
      </c>
      <c r="C4" s="6" t="inlineStr">
        <is>
          <t>Customer ID</t>
        </is>
      </c>
      <c r="D4" s="6" t="inlineStr">
        <is>
          <t>Code</t>
        </is>
      </c>
      <c r="E4" s="6" t="inlineStr">
        <is>
          <t>Item</t>
        </is>
      </c>
      <c r="F4" s="6" t="inlineStr">
        <is>
          <t>Qty</t>
        </is>
      </c>
      <c r="G4" s="6" t="inlineStr">
        <is>
          <t>Price (₹)</t>
        </is>
      </c>
      <c r="H4" s="6" t="inlineStr">
        <is>
          <t>Taxable (₹)</t>
        </is>
      </c>
      <c r="I4" s="6" t="inlineStr">
        <is>
          <t>GST (₹)</t>
        </is>
      </c>
      <c r="J4" s="6" t="inlineStr">
        <is>
          <t>Total (₹)</t>
        </is>
      </c>
      <c r="K4" s="6" t="inlineStr">
        <is>
          <t>Cost (₹)</t>
        </is>
      </c>
      <c r="L4" s="6" t="inlineStr">
        <is>
          <t>Key</t>
        </is>
      </c>
    </row>
    <row r="5">
      <c r="A5" s="4" t="n">
        <v>46239</v>
      </c>
      <c r="B5" s="5" t="inlineStr">
        <is>
          <t>AH-001</t>
        </is>
      </c>
      <c r="C5" s="5" t="inlineStr">
        <is>
          <t>K04</t>
        </is>
      </c>
      <c r="D5" s="5" t="inlineStr">
        <is>
          <t>H03</t>
        </is>
      </c>
      <c r="E5" s="9">
        <f>_xlfn.XLOOKUP(D5,Items!$A$5:$A$10,Items!$B$5:$B$10,"Check code")</f>
        <v/>
      </c>
      <c r="F5" s="5" t="n">
        <v>2</v>
      </c>
      <c r="G5" s="10">
        <f>_xlfn.XLOOKUP(D5,Items!$A$5:$A$10,Items!$E$5:$E$10,0)</f>
        <v/>
      </c>
      <c r="H5" s="10">
        <f>F5*G5</f>
        <v/>
      </c>
      <c r="I5" s="11">
        <f>ROUND(H5*_xlfn.XLOOKUP(D5,Items!$A$5:$A$10,Items!$F$5:$F$10,0),2)</f>
        <v/>
      </c>
      <c r="J5" s="11">
        <f>H5+I5</f>
        <v/>
      </c>
      <c r="K5" s="10">
        <f>F5*_xlfn.XLOOKUP(D5,Items!$A$5:$A$10,Items!$D$5:$D$10,0)</f>
        <v/>
      </c>
      <c r="L5" s="9">
        <f>B5&amp;"-"&amp;COUNTIF($B$5:B5,B5)</f>
        <v/>
      </c>
    </row>
    <row r="6">
      <c r="A6" s="4" t="n">
        <v>46239</v>
      </c>
      <c r="B6" s="5" t="inlineStr">
        <is>
          <t>AH-001</t>
        </is>
      </c>
      <c r="C6" s="5" t="inlineStr">
        <is>
          <t>K04</t>
        </is>
      </c>
      <c r="D6" s="5" t="inlineStr">
        <is>
          <t>H04</t>
        </is>
      </c>
      <c r="E6" s="9">
        <f>_xlfn.XLOOKUP(D6,Items!$A$5:$A$10,Items!$B$5:$B$10,"Check code")</f>
        <v/>
      </c>
      <c r="F6" s="5" t="n">
        <v>4</v>
      </c>
      <c r="G6" s="10">
        <f>_xlfn.XLOOKUP(D6,Items!$A$5:$A$10,Items!$E$5:$E$10,0)</f>
        <v/>
      </c>
      <c r="H6" s="10">
        <f>F6*G6</f>
        <v/>
      </c>
      <c r="I6" s="11">
        <f>ROUND(H6*_xlfn.XLOOKUP(D6,Items!$A$5:$A$10,Items!$F$5:$F$10,0),2)</f>
        <v/>
      </c>
      <c r="J6" s="11">
        <f>H6+I6</f>
        <v/>
      </c>
      <c r="K6" s="10">
        <f>F6*_xlfn.XLOOKUP(D6,Items!$A$5:$A$10,Items!$D$5:$D$10,0)</f>
        <v/>
      </c>
      <c r="L6" s="9">
        <f>B6&amp;"-"&amp;COUNTIF($B$5:B6,B6)</f>
        <v/>
      </c>
    </row>
    <row r="7">
      <c r="A7" s="4" t="n">
        <v>46239</v>
      </c>
      <c r="B7" s="5" t="inlineStr">
        <is>
          <t>AH-002</t>
        </is>
      </c>
      <c r="C7" s="5" t="inlineStr">
        <is>
          <t>K02</t>
        </is>
      </c>
      <c r="D7" s="5" t="inlineStr">
        <is>
          <t>H01</t>
        </is>
      </c>
      <c r="E7" s="9">
        <f>_xlfn.XLOOKUP(D7,Items!$A$5:$A$10,Items!$B$5:$B$10,"Check code")</f>
        <v/>
      </c>
      <c r="F7" s="5" t="n">
        <v>5</v>
      </c>
      <c r="G7" s="10">
        <f>_xlfn.XLOOKUP(D7,Items!$A$5:$A$10,Items!$E$5:$E$10,0)</f>
        <v/>
      </c>
      <c r="H7" s="10">
        <f>F7*G7</f>
        <v/>
      </c>
      <c r="I7" s="11">
        <f>ROUND(H7*_xlfn.XLOOKUP(D7,Items!$A$5:$A$10,Items!$F$5:$F$10,0),2)</f>
        <v/>
      </c>
      <c r="J7" s="11">
        <f>H7+I7</f>
        <v/>
      </c>
      <c r="K7" s="10">
        <f>F7*_xlfn.XLOOKUP(D7,Items!$A$5:$A$10,Items!$D$5:$D$10,0)</f>
        <v/>
      </c>
      <c r="L7" s="9">
        <f>B7&amp;"-"&amp;COUNTIF($B$5:B7,B7)</f>
        <v/>
      </c>
    </row>
    <row r="8">
      <c r="A8" s="4" t="n">
        <v>46239</v>
      </c>
      <c r="B8" s="5" t="inlineStr">
        <is>
          <t>AH-002</t>
        </is>
      </c>
      <c r="C8" s="5" t="inlineStr">
        <is>
          <t>K02</t>
        </is>
      </c>
      <c r="D8" s="5" t="inlineStr">
        <is>
          <t>H06</t>
        </is>
      </c>
      <c r="E8" s="9">
        <f>_xlfn.XLOOKUP(D8,Items!$A$5:$A$10,Items!$B$5:$B$10,"Check code")</f>
        <v/>
      </c>
      <c r="F8" s="5" t="n">
        <v>1</v>
      </c>
      <c r="G8" s="10">
        <f>_xlfn.XLOOKUP(D8,Items!$A$5:$A$10,Items!$E$5:$E$10,0)</f>
        <v/>
      </c>
      <c r="H8" s="10">
        <f>F8*G8</f>
        <v/>
      </c>
      <c r="I8" s="11">
        <f>ROUND(H8*_xlfn.XLOOKUP(D8,Items!$A$5:$A$10,Items!$F$5:$F$10,0),2)</f>
        <v/>
      </c>
      <c r="J8" s="11">
        <f>H8+I8</f>
        <v/>
      </c>
      <c r="K8" s="10">
        <f>F8*_xlfn.XLOOKUP(D8,Items!$A$5:$A$10,Items!$D$5:$D$10,0)</f>
        <v/>
      </c>
      <c r="L8" s="9">
        <f>B8&amp;"-"&amp;COUNTIF($B$5:B8,B8)</f>
        <v/>
      </c>
    </row>
    <row r="9">
      <c r="A9" s="4" t="n">
        <v>46239</v>
      </c>
      <c r="B9" s="5" t="inlineStr">
        <is>
          <t>AH-002</t>
        </is>
      </c>
      <c r="C9" s="5" t="inlineStr">
        <is>
          <t>K02</t>
        </is>
      </c>
      <c r="D9" s="5" t="inlineStr">
        <is>
          <t>H02</t>
        </is>
      </c>
      <c r="E9" s="9">
        <f>_xlfn.XLOOKUP(D9,Items!$A$5:$A$10,Items!$B$5:$B$10,"Check code")</f>
        <v/>
      </c>
      <c r="F9" s="5" t="n">
        <v>3</v>
      </c>
      <c r="G9" s="10">
        <f>_xlfn.XLOOKUP(D9,Items!$A$5:$A$10,Items!$E$5:$E$10,0)</f>
        <v/>
      </c>
      <c r="H9" s="10">
        <f>F9*G9</f>
        <v/>
      </c>
      <c r="I9" s="11">
        <f>ROUND(H9*_xlfn.XLOOKUP(D9,Items!$A$5:$A$10,Items!$F$5:$F$10,0),2)</f>
        <v/>
      </c>
      <c r="J9" s="11">
        <f>H9+I9</f>
        <v/>
      </c>
      <c r="K9" s="10">
        <f>F9*_xlfn.XLOOKUP(D9,Items!$A$5:$A$10,Items!$D$5:$D$10,0)</f>
        <v/>
      </c>
      <c r="L9" s="9">
        <f>B9&amp;"-"&amp;COUNTIF($B$5:B9,B9)</f>
        <v/>
      </c>
    </row>
    <row r="10">
      <c r="A10" s="4" t="n">
        <v>46246</v>
      </c>
      <c r="B10" s="5" t="inlineStr">
        <is>
          <t>AH-003</t>
        </is>
      </c>
      <c r="C10" s="5" t="inlineStr">
        <is>
          <t>K01</t>
        </is>
      </c>
      <c r="D10" s="5" t="inlineStr">
        <is>
          <t>H02</t>
        </is>
      </c>
      <c r="E10" s="9">
        <f>_xlfn.XLOOKUP(D10,Items!$A$5:$A$10,Items!$B$5:$B$10,"Check code")</f>
        <v/>
      </c>
      <c r="F10" s="5" t="n">
        <v>3</v>
      </c>
      <c r="G10" s="10">
        <f>_xlfn.XLOOKUP(D10,Items!$A$5:$A$10,Items!$E$5:$E$10,0)</f>
        <v/>
      </c>
      <c r="H10" s="10">
        <f>F10*G10</f>
        <v/>
      </c>
      <c r="I10" s="11">
        <f>ROUND(H10*_xlfn.XLOOKUP(D10,Items!$A$5:$A$10,Items!$F$5:$F$10,0),2)</f>
        <v/>
      </c>
      <c r="J10" s="11">
        <f>H10+I10</f>
        <v/>
      </c>
      <c r="K10" s="10">
        <f>F10*_xlfn.XLOOKUP(D10,Items!$A$5:$A$10,Items!$D$5:$D$10,0)</f>
        <v/>
      </c>
      <c r="L10" s="9">
        <f>B10&amp;"-"&amp;COUNTIF($B$5:B10,B10)</f>
        <v/>
      </c>
    </row>
    <row r="11">
      <c r="A11" s="4" t="n">
        <v>46246</v>
      </c>
      <c r="B11" s="5" t="inlineStr">
        <is>
          <t>AH-003</t>
        </is>
      </c>
      <c r="C11" s="5" t="inlineStr">
        <is>
          <t>K01</t>
        </is>
      </c>
      <c r="D11" s="5" t="inlineStr">
        <is>
          <t>H03</t>
        </is>
      </c>
      <c r="E11" s="9">
        <f>_xlfn.XLOOKUP(D11,Items!$A$5:$A$10,Items!$B$5:$B$10,"Check code")</f>
        <v/>
      </c>
      <c r="F11" s="5" t="n">
        <v>20</v>
      </c>
      <c r="G11" s="10">
        <f>_xlfn.XLOOKUP(D11,Items!$A$5:$A$10,Items!$E$5:$E$10,0)</f>
        <v/>
      </c>
      <c r="H11" s="10">
        <f>F11*G11</f>
        <v/>
      </c>
      <c r="I11" s="11">
        <f>ROUND(H11*_xlfn.XLOOKUP(D11,Items!$A$5:$A$10,Items!$F$5:$F$10,0),2)</f>
        <v/>
      </c>
      <c r="J11" s="11">
        <f>H11+I11</f>
        <v/>
      </c>
      <c r="K11" s="10">
        <f>F11*_xlfn.XLOOKUP(D11,Items!$A$5:$A$10,Items!$D$5:$D$10,0)</f>
        <v/>
      </c>
      <c r="L11" s="9">
        <f>B11&amp;"-"&amp;COUNTIF($B$5:B11,B11)</f>
        <v/>
      </c>
    </row>
    <row r="12">
      <c r="A12" s="4" t="n">
        <v>46246</v>
      </c>
      <c r="B12" s="5" t="inlineStr">
        <is>
          <t>AH-003</t>
        </is>
      </c>
      <c r="C12" s="5" t="inlineStr">
        <is>
          <t>K01</t>
        </is>
      </c>
      <c r="D12" s="5" t="inlineStr">
        <is>
          <t>H06</t>
        </is>
      </c>
      <c r="E12" s="9">
        <f>_xlfn.XLOOKUP(D12,Items!$A$5:$A$10,Items!$B$5:$B$10,"Check code")</f>
        <v/>
      </c>
      <c r="F12" s="5" t="n">
        <v>1</v>
      </c>
      <c r="G12" s="10">
        <f>_xlfn.XLOOKUP(D12,Items!$A$5:$A$10,Items!$E$5:$E$10,0)</f>
        <v/>
      </c>
      <c r="H12" s="10">
        <f>F12*G12</f>
        <v/>
      </c>
      <c r="I12" s="11">
        <f>ROUND(H12*_xlfn.XLOOKUP(D12,Items!$A$5:$A$10,Items!$F$5:$F$10,0),2)</f>
        <v/>
      </c>
      <c r="J12" s="11">
        <f>H12+I12</f>
        <v/>
      </c>
      <c r="K12" s="10">
        <f>F12*_xlfn.XLOOKUP(D12,Items!$A$5:$A$10,Items!$D$5:$D$10,0)</f>
        <v/>
      </c>
      <c r="L12" s="9">
        <f>B12&amp;"-"&amp;COUNTIF($B$5:B12,B12)</f>
        <v/>
      </c>
    </row>
    <row r="13">
      <c r="A13" s="4" t="n">
        <v>46246</v>
      </c>
      <c r="B13" s="5" t="inlineStr">
        <is>
          <t>AH-004</t>
        </is>
      </c>
      <c r="C13" s="5" t="inlineStr">
        <is>
          <t>K04</t>
        </is>
      </c>
      <c r="D13" s="5" t="inlineStr">
        <is>
          <t>H05</t>
        </is>
      </c>
      <c r="E13" s="9">
        <f>_xlfn.XLOOKUP(D13,Items!$A$5:$A$10,Items!$B$5:$B$10,"Check code")</f>
        <v/>
      </c>
      <c r="F13" s="5" t="n">
        <v>2</v>
      </c>
      <c r="G13" s="10">
        <f>_xlfn.XLOOKUP(D13,Items!$A$5:$A$10,Items!$E$5:$E$10,0)</f>
        <v/>
      </c>
      <c r="H13" s="10">
        <f>F13*G13</f>
        <v/>
      </c>
      <c r="I13" s="11">
        <f>ROUND(H13*_xlfn.XLOOKUP(D13,Items!$A$5:$A$10,Items!$F$5:$F$10,0),2)</f>
        <v/>
      </c>
      <c r="J13" s="11">
        <f>H13+I13</f>
        <v/>
      </c>
      <c r="K13" s="10">
        <f>F13*_xlfn.XLOOKUP(D13,Items!$A$5:$A$10,Items!$D$5:$D$10,0)</f>
        <v/>
      </c>
      <c r="L13" s="9">
        <f>B13&amp;"-"&amp;COUNTIF($B$5:B13,B13)</f>
        <v/>
      </c>
    </row>
    <row r="14">
      <c r="A14" s="4" t="n">
        <v>46254</v>
      </c>
      <c r="B14" s="5" t="inlineStr">
        <is>
          <t>AH-005</t>
        </is>
      </c>
      <c r="C14" s="5" t="inlineStr">
        <is>
          <t>K02</t>
        </is>
      </c>
      <c r="D14" s="5" t="inlineStr">
        <is>
          <t>H04</t>
        </is>
      </c>
      <c r="E14" s="9">
        <f>_xlfn.XLOOKUP(D14,Items!$A$5:$A$10,Items!$B$5:$B$10,"Check code")</f>
        <v/>
      </c>
      <c r="F14" s="5" t="n">
        <v>4</v>
      </c>
      <c r="G14" s="10">
        <f>_xlfn.XLOOKUP(D14,Items!$A$5:$A$10,Items!$E$5:$E$10,0)</f>
        <v/>
      </c>
      <c r="H14" s="10">
        <f>F14*G14</f>
        <v/>
      </c>
      <c r="I14" s="11">
        <f>ROUND(H14*_xlfn.XLOOKUP(D14,Items!$A$5:$A$10,Items!$F$5:$F$10,0),2)</f>
        <v/>
      </c>
      <c r="J14" s="11">
        <f>H14+I14</f>
        <v/>
      </c>
      <c r="K14" s="10">
        <f>F14*_xlfn.XLOOKUP(D14,Items!$A$5:$A$10,Items!$D$5:$D$10,0)</f>
        <v/>
      </c>
      <c r="L14" s="9">
        <f>B14&amp;"-"&amp;COUNTIF($B$5:B14,B14)</f>
        <v/>
      </c>
    </row>
    <row r="15">
      <c r="A15" s="4" t="n">
        <v>46254</v>
      </c>
      <c r="B15" s="5" t="inlineStr">
        <is>
          <t>AH-005</t>
        </is>
      </c>
      <c r="C15" s="5" t="inlineStr">
        <is>
          <t>K02</t>
        </is>
      </c>
      <c r="D15" s="5" t="inlineStr">
        <is>
          <t>H06</t>
        </is>
      </c>
      <c r="E15" s="9">
        <f>_xlfn.XLOOKUP(D15,Items!$A$5:$A$10,Items!$B$5:$B$10,"Check code")</f>
        <v/>
      </c>
      <c r="F15" s="5" t="n">
        <v>2</v>
      </c>
      <c r="G15" s="10">
        <f>_xlfn.XLOOKUP(D15,Items!$A$5:$A$10,Items!$E$5:$E$10,0)</f>
        <v/>
      </c>
      <c r="H15" s="10">
        <f>F15*G15</f>
        <v/>
      </c>
      <c r="I15" s="11">
        <f>ROUND(H15*_xlfn.XLOOKUP(D15,Items!$A$5:$A$10,Items!$F$5:$F$10,0),2)</f>
        <v/>
      </c>
      <c r="J15" s="11">
        <f>H15+I15</f>
        <v/>
      </c>
      <c r="K15" s="10">
        <f>F15*_xlfn.XLOOKUP(D15,Items!$A$5:$A$10,Items!$D$5:$D$10,0)</f>
        <v/>
      </c>
      <c r="L15" s="9">
        <f>B15&amp;"-"&amp;COUNTIF($B$5:B15,B15)</f>
        <v/>
      </c>
    </row>
    <row r="16">
      <c r="A16" s="4" t="n">
        <v>46254</v>
      </c>
      <c r="B16" s="5" t="inlineStr">
        <is>
          <t>AH-005</t>
        </is>
      </c>
      <c r="C16" s="5" t="inlineStr">
        <is>
          <t>K02</t>
        </is>
      </c>
      <c r="D16" s="5" t="inlineStr">
        <is>
          <t>H03</t>
        </is>
      </c>
      <c r="E16" s="9">
        <f>_xlfn.XLOOKUP(D16,Items!$A$5:$A$10,Items!$B$5:$B$10,"Check code")</f>
        <v/>
      </c>
      <c r="F16" s="5" t="n">
        <v>2</v>
      </c>
      <c r="G16" s="10">
        <f>_xlfn.XLOOKUP(D16,Items!$A$5:$A$10,Items!$E$5:$E$10,0)</f>
        <v/>
      </c>
      <c r="H16" s="10">
        <f>F16*G16</f>
        <v/>
      </c>
      <c r="I16" s="11">
        <f>ROUND(H16*_xlfn.XLOOKUP(D16,Items!$A$5:$A$10,Items!$F$5:$F$10,0),2)</f>
        <v/>
      </c>
      <c r="J16" s="11">
        <f>H16+I16</f>
        <v/>
      </c>
      <c r="K16" s="10">
        <f>F16*_xlfn.XLOOKUP(D16,Items!$A$5:$A$10,Items!$D$5:$D$10,0)</f>
        <v/>
      </c>
      <c r="L16" s="9">
        <f>B16&amp;"-"&amp;COUNTIF($B$5:B16,B16)</f>
        <v/>
      </c>
    </row>
    <row r="17">
      <c r="A17" s="4" t="n">
        <v>46254</v>
      </c>
      <c r="B17" s="5" t="inlineStr">
        <is>
          <t>AH-006</t>
        </is>
      </c>
      <c r="C17" s="5" t="inlineStr">
        <is>
          <t>K03</t>
        </is>
      </c>
      <c r="D17" s="5" t="inlineStr">
        <is>
          <t>H01</t>
        </is>
      </c>
      <c r="E17" s="9">
        <f>_xlfn.XLOOKUP(D17,Items!$A$5:$A$10,Items!$B$5:$B$10,"Check code")</f>
        <v/>
      </c>
      <c r="F17" s="5" t="n">
        <v>5</v>
      </c>
      <c r="G17" s="10">
        <f>_xlfn.XLOOKUP(D17,Items!$A$5:$A$10,Items!$E$5:$E$10,0)</f>
        <v/>
      </c>
      <c r="H17" s="10">
        <f>F17*G17</f>
        <v/>
      </c>
      <c r="I17" s="11">
        <f>ROUND(H17*_xlfn.XLOOKUP(D17,Items!$A$5:$A$10,Items!$F$5:$F$10,0),2)</f>
        <v/>
      </c>
      <c r="J17" s="11">
        <f>H17+I17</f>
        <v/>
      </c>
      <c r="K17" s="10">
        <f>F17*_xlfn.XLOOKUP(D17,Items!$A$5:$A$10,Items!$D$5:$D$10,0)</f>
        <v/>
      </c>
      <c r="L17" s="9">
        <f>B17&amp;"-"&amp;COUNTIF($B$5:B17,B17)</f>
        <v/>
      </c>
    </row>
    <row r="18">
      <c r="A18" s="4" t="n">
        <v>46262</v>
      </c>
      <c r="B18" s="5" t="inlineStr">
        <is>
          <t>AH-007</t>
        </is>
      </c>
      <c r="C18" s="5" t="inlineStr">
        <is>
          <t>K03</t>
        </is>
      </c>
      <c r="D18" s="5" t="inlineStr">
        <is>
          <t>H05</t>
        </is>
      </c>
      <c r="E18" s="9">
        <f>_xlfn.XLOOKUP(D18,Items!$A$5:$A$10,Items!$B$5:$B$10,"Check code")</f>
        <v/>
      </c>
      <c r="F18" s="5" t="n">
        <v>2</v>
      </c>
      <c r="G18" s="10">
        <f>_xlfn.XLOOKUP(D18,Items!$A$5:$A$10,Items!$E$5:$E$10,0)</f>
        <v/>
      </c>
      <c r="H18" s="10">
        <f>F18*G18</f>
        <v/>
      </c>
      <c r="I18" s="11">
        <f>ROUND(H18*_xlfn.XLOOKUP(D18,Items!$A$5:$A$10,Items!$F$5:$F$10,0),2)</f>
        <v/>
      </c>
      <c r="J18" s="11">
        <f>H18+I18</f>
        <v/>
      </c>
      <c r="K18" s="10">
        <f>F18*_xlfn.XLOOKUP(D18,Items!$A$5:$A$10,Items!$D$5:$D$10,0)</f>
        <v/>
      </c>
      <c r="L18" s="9">
        <f>B18&amp;"-"&amp;COUNTIF($B$5:B18,B18)</f>
        <v/>
      </c>
    </row>
    <row r="19">
      <c r="A19" s="4" t="n">
        <v>46262</v>
      </c>
      <c r="B19" s="5" t="inlineStr">
        <is>
          <t>AH-008</t>
        </is>
      </c>
      <c r="C19" s="5" t="inlineStr">
        <is>
          <t>K01</t>
        </is>
      </c>
      <c r="D19" s="5" t="inlineStr">
        <is>
          <t>H01</t>
        </is>
      </c>
      <c r="E19" s="9">
        <f>_xlfn.XLOOKUP(D19,Items!$A$5:$A$10,Items!$B$5:$B$10,"Check code")</f>
        <v/>
      </c>
      <c r="F19" s="5" t="n">
        <v>2</v>
      </c>
      <c r="G19" s="10">
        <f>_xlfn.XLOOKUP(D19,Items!$A$5:$A$10,Items!$E$5:$E$10,0)</f>
        <v/>
      </c>
      <c r="H19" s="10">
        <f>F19*G19</f>
        <v/>
      </c>
      <c r="I19" s="11">
        <f>ROUND(H19*_xlfn.XLOOKUP(D19,Items!$A$5:$A$10,Items!$F$5:$F$10,0),2)</f>
        <v/>
      </c>
      <c r="J19" s="11">
        <f>H19+I19</f>
        <v/>
      </c>
      <c r="K19" s="10">
        <f>F19*_xlfn.XLOOKUP(D19,Items!$A$5:$A$10,Items!$D$5:$D$10,0)</f>
        <v/>
      </c>
      <c r="L19" s="9">
        <f>B19&amp;"-"&amp;COUNTIF($B$5:B19,B19)</f>
        <v/>
      </c>
    </row>
    <row r="20">
      <c r="A20" s="4" t="n">
        <v>46262</v>
      </c>
      <c r="B20" s="5" t="inlineStr">
        <is>
          <t>AH-008</t>
        </is>
      </c>
      <c r="C20" s="5" t="inlineStr">
        <is>
          <t>K01</t>
        </is>
      </c>
      <c r="D20" s="5" t="inlineStr">
        <is>
          <t>H04</t>
        </is>
      </c>
      <c r="E20" s="9">
        <f>_xlfn.XLOOKUP(D20,Items!$A$5:$A$10,Items!$B$5:$B$10,"Check code")</f>
        <v/>
      </c>
      <c r="F20" s="5" t="n">
        <v>3</v>
      </c>
      <c r="G20" s="10">
        <f>_xlfn.XLOOKUP(D20,Items!$A$5:$A$10,Items!$E$5:$E$10,0)</f>
        <v/>
      </c>
      <c r="H20" s="10">
        <f>F20*G20</f>
        <v/>
      </c>
      <c r="I20" s="11">
        <f>ROUND(H20*_xlfn.XLOOKUP(D20,Items!$A$5:$A$10,Items!$F$5:$F$10,0),2)</f>
        <v/>
      </c>
      <c r="J20" s="11">
        <f>H20+I20</f>
        <v/>
      </c>
      <c r="K20" s="10">
        <f>F20*_xlfn.XLOOKUP(D20,Items!$A$5:$A$10,Items!$D$5:$D$10,0)</f>
        <v/>
      </c>
      <c r="L20" s="9">
        <f>B20&amp;"-"&amp;COUNTIF($B$5:B20,B20)</f>
        <v/>
      </c>
    </row>
    <row r="21">
      <c r="A21" s="4" t="n">
        <v>46262</v>
      </c>
      <c r="B21" s="5" t="inlineStr">
        <is>
          <t>AH-008</t>
        </is>
      </c>
      <c r="C21" s="5" t="inlineStr">
        <is>
          <t>K01</t>
        </is>
      </c>
      <c r="D21" s="5" t="inlineStr">
        <is>
          <t>H05</t>
        </is>
      </c>
      <c r="E21" s="9">
        <f>_xlfn.XLOOKUP(D21,Items!$A$5:$A$10,Items!$B$5:$B$10,"Check code")</f>
        <v/>
      </c>
      <c r="F21" s="5" t="n">
        <v>1</v>
      </c>
      <c r="G21" s="10">
        <f>_xlfn.XLOOKUP(D21,Items!$A$5:$A$10,Items!$E$5:$E$10,0)</f>
        <v/>
      </c>
      <c r="H21" s="10">
        <f>F21*G21</f>
        <v/>
      </c>
      <c r="I21" s="11">
        <f>ROUND(H21*_xlfn.XLOOKUP(D21,Items!$A$5:$A$10,Items!$F$5:$F$10,0),2)</f>
        <v/>
      </c>
      <c r="J21" s="11">
        <f>H21+I21</f>
        <v/>
      </c>
      <c r="K21" s="10">
        <f>F21*_xlfn.XLOOKUP(D21,Items!$A$5:$A$10,Items!$D$5:$D$10,0)</f>
        <v/>
      </c>
      <c r="L21" s="9">
        <f>B21&amp;"-"&amp;COUNTIF($B$5:B21,B21)</f>
        <v/>
      </c>
    </row>
    <row r="22">
      <c r="A22" s="4" t="n">
        <v>46268</v>
      </c>
      <c r="B22" s="5" t="inlineStr">
        <is>
          <t>AH-009</t>
        </is>
      </c>
      <c r="C22" s="5" t="inlineStr">
        <is>
          <t>K03</t>
        </is>
      </c>
      <c r="D22" s="5" t="inlineStr">
        <is>
          <t>H04</t>
        </is>
      </c>
      <c r="E22" s="9">
        <f>_xlfn.XLOOKUP(D22,Items!$A$5:$A$10,Items!$B$5:$B$10,"Check code")</f>
        <v/>
      </c>
      <c r="F22" s="5" t="n">
        <v>3</v>
      </c>
      <c r="G22" s="10">
        <f>_xlfn.XLOOKUP(D22,Items!$A$5:$A$10,Items!$E$5:$E$10,0)</f>
        <v/>
      </c>
      <c r="H22" s="10">
        <f>F22*G22</f>
        <v/>
      </c>
      <c r="I22" s="11">
        <f>ROUND(H22*_xlfn.XLOOKUP(D22,Items!$A$5:$A$10,Items!$F$5:$F$10,0),2)</f>
        <v/>
      </c>
      <c r="J22" s="11">
        <f>H22+I22</f>
        <v/>
      </c>
      <c r="K22" s="10">
        <f>F22*_xlfn.XLOOKUP(D22,Items!$A$5:$A$10,Items!$D$5:$D$10,0)</f>
        <v/>
      </c>
      <c r="L22" s="9">
        <f>B22&amp;"-"&amp;COUNTIF($B$5:B22,B22)</f>
        <v/>
      </c>
    </row>
    <row r="23">
      <c r="A23" s="4" t="n">
        <v>46268</v>
      </c>
      <c r="B23" s="5" t="inlineStr">
        <is>
          <t>AH-009</t>
        </is>
      </c>
      <c r="C23" s="5" t="inlineStr">
        <is>
          <t>K03</t>
        </is>
      </c>
      <c r="D23" s="5" t="inlineStr">
        <is>
          <t>H01</t>
        </is>
      </c>
      <c r="E23" s="9">
        <f>_xlfn.XLOOKUP(D23,Items!$A$5:$A$10,Items!$B$5:$B$10,"Check code")</f>
        <v/>
      </c>
      <c r="F23" s="5" t="n">
        <v>20</v>
      </c>
      <c r="G23" s="10">
        <f>_xlfn.XLOOKUP(D23,Items!$A$5:$A$10,Items!$E$5:$E$10,0)</f>
        <v/>
      </c>
      <c r="H23" s="10">
        <f>F23*G23</f>
        <v/>
      </c>
      <c r="I23" s="11">
        <f>ROUND(H23*_xlfn.XLOOKUP(D23,Items!$A$5:$A$10,Items!$F$5:$F$10,0),2)</f>
        <v/>
      </c>
      <c r="J23" s="11">
        <f>H23+I23</f>
        <v/>
      </c>
      <c r="K23" s="10">
        <f>F23*_xlfn.XLOOKUP(D23,Items!$A$5:$A$10,Items!$D$5:$D$10,0)</f>
        <v/>
      </c>
      <c r="L23" s="9">
        <f>B23&amp;"-"&amp;COUNTIF($B$5:B23,B23)</f>
        <v/>
      </c>
    </row>
    <row r="24">
      <c r="A24" s="4" t="n">
        <v>46268</v>
      </c>
      <c r="B24" s="5" t="inlineStr">
        <is>
          <t>AH-010</t>
        </is>
      </c>
      <c r="C24" s="5" t="inlineStr">
        <is>
          <t>K01</t>
        </is>
      </c>
      <c r="D24" s="5" t="inlineStr">
        <is>
          <t>H05</t>
        </is>
      </c>
      <c r="E24" s="9">
        <f>_xlfn.XLOOKUP(D24,Items!$A$5:$A$10,Items!$B$5:$B$10,"Check code")</f>
        <v/>
      </c>
      <c r="F24" s="5" t="n">
        <v>5</v>
      </c>
      <c r="G24" s="10">
        <f>_xlfn.XLOOKUP(D24,Items!$A$5:$A$10,Items!$E$5:$E$10,0)</f>
        <v/>
      </c>
      <c r="H24" s="10">
        <f>F24*G24</f>
        <v/>
      </c>
      <c r="I24" s="11">
        <f>ROUND(H24*_xlfn.XLOOKUP(D24,Items!$A$5:$A$10,Items!$F$5:$F$10,0),2)</f>
        <v/>
      </c>
      <c r="J24" s="11">
        <f>H24+I24</f>
        <v/>
      </c>
      <c r="K24" s="10">
        <f>F24*_xlfn.XLOOKUP(D24,Items!$A$5:$A$10,Items!$D$5:$D$10,0)</f>
        <v/>
      </c>
      <c r="L24" s="9">
        <f>B24&amp;"-"&amp;COUNTIF($B$5:B24,B24)</f>
        <v/>
      </c>
    </row>
    <row r="25">
      <c r="A25" s="4" t="n">
        <v>46268</v>
      </c>
      <c r="B25" s="5" t="inlineStr">
        <is>
          <t>AH-010</t>
        </is>
      </c>
      <c r="C25" s="5" t="inlineStr">
        <is>
          <t>K01</t>
        </is>
      </c>
      <c r="D25" s="5" t="inlineStr">
        <is>
          <t>H01</t>
        </is>
      </c>
      <c r="E25" s="9">
        <f>_xlfn.XLOOKUP(D25,Items!$A$5:$A$10,Items!$B$5:$B$10,"Check code")</f>
        <v/>
      </c>
      <c r="F25" s="5" t="n">
        <v>4</v>
      </c>
      <c r="G25" s="10">
        <f>_xlfn.XLOOKUP(D25,Items!$A$5:$A$10,Items!$E$5:$E$10,0)</f>
        <v/>
      </c>
      <c r="H25" s="10">
        <f>F25*G25</f>
        <v/>
      </c>
      <c r="I25" s="11">
        <f>ROUND(H25*_xlfn.XLOOKUP(D25,Items!$A$5:$A$10,Items!$F$5:$F$10,0),2)</f>
        <v/>
      </c>
      <c r="J25" s="11">
        <f>H25+I25</f>
        <v/>
      </c>
      <c r="K25" s="10">
        <f>F25*_xlfn.XLOOKUP(D25,Items!$A$5:$A$10,Items!$D$5:$D$10,0)</f>
        <v/>
      </c>
      <c r="L25" s="9">
        <f>B25&amp;"-"&amp;COUNTIF($B$5:B25,B25)</f>
        <v/>
      </c>
    </row>
    <row r="26">
      <c r="A26" s="4" t="n">
        <v>46268</v>
      </c>
      <c r="B26" s="5" t="inlineStr">
        <is>
          <t>AH-010</t>
        </is>
      </c>
      <c r="C26" s="5" t="inlineStr">
        <is>
          <t>K01</t>
        </is>
      </c>
      <c r="D26" s="5" t="inlineStr">
        <is>
          <t>H02</t>
        </is>
      </c>
      <c r="E26" s="9">
        <f>_xlfn.XLOOKUP(D26,Items!$A$5:$A$10,Items!$B$5:$B$10,"Check code")</f>
        <v/>
      </c>
      <c r="F26" s="5" t="n">
        <v>5</v>
      </c>
      <c r="G26" s="10">
        <f>_xlfn.XLOOKUP(D26,Items!$A$5:$A$10,Items!$E$5:$E$10,0)</f>
        <v/>
      </c>
      <c r="H26" s="10">
        <f>F26*G26</f>
        <v/>
      </c>
      <c r="I26" s="11">
        <f>ROUND(H26*_xlfn.XLOOKUP(D26,Items!$A$5:$A$10,Items!$F$5:$F$10,0),2)</f>
        <v/>
      </c>
      <c r="J26" s="11">
        <f>H26+I26</f>
        <v/>
      </c>
      <c r="K26" s="10">
        <f>F26*_xlfn.XLOOKUP(D26,Items!$A$5:$A$10,Items!$D$5:$D$10,0)</f>
        <v/>
      </c>
      <c r="L26" s="9">
        <f>B26&amp;"-"&amp;COUNTIF($B$5:B26,B26)</f>
        <v/>
      </c>
    </row>
    <row r="27">
      <c r="A27" s="4" t="n">
        <v>46275</v>
      </c>
      <c r="B27" s="5" t="inlineStr">
        <is>
          <t>AH-011</t>
        </is>
      </c>
      <c r="C27" s="5" t="inlineStr">
        <is>
          <t>K04</t>
        </is>
      </c>
      <c r="D27" s="5" t="inlineStr">
        <is>
          <t>H02</t>
        </is>
      </c>
      <c r="E27" s="9">
        <f>_xlfn.XLOOKUP(D27,Items!$A$5:$A$10,Items!$B$5:$B$10,"Check code")</f>
        <v/>
      </c>
      <c r="F27" s="5" t="n">
        <v>3</v>
      </c>
      <c r="G27" s="10">
        <f>_xlfn.XLOOKUP(D27,Items!$A$5:$A$10,Items!$E$5:$E$10,0)</f>
        <v/>
      </c>
      <c r="H27" s="10">
        <f>F27*G27</f>
        <v/>
      </c>
      <c r="I27" s="11">
        <f>ROUND(H27*_xlfn.XLOOKUP(D27,Items!$A$5:$A$10,Items!$F$5:$F$10,0),2)</f>
        <v/>
      </c>
      <c r="J27" s="11">
        <f>H27+I27</f>
        <v/>
      </c>
      <c r="K27" s="10">
        <f>F27*_xlfn.XLOOKUP(D27,Items!$A$5:$A$10,Items!$D$5:$D$10,0)</f>
        <v/>
      </c>
      <c r="L27" s="9">
        <f>B27&amp;"-"&amp;COUNTIF($B$5:B27,B27)</f>
        <v/>
      </c>
    </row>
    <row r="28">
      <c r="A28" s="4" t="n">
        <v>46275</v>
      </c>
      <c r="B28" s="5" t="inlineStr">
        <is>
          <t>AH-011</t>
        </is>
      </c>
      <c r="C28" s="5" t="inlineStr">
        <is>
          <t>K04</t>
        </is>
      </c>
      <c r="D28" s="5" t="inlineStr">
        <is>
          <t>H01</t>
        </is>
      </c>
      <c r="E28" s="9">
        <f>_xlfn.XLOOKUP(D28,Items!$A$5:$A$10,Items!$B$5:$B$10,"Check code")</f>
        <v/>
      </c>
      <c r="F28" s="5" t="n">
        <v>4</v>
      </c>
      <c r="G28" s="10">
        <f>_xlfn.XLOOKUP(D28,Items!$A$5:$A$10,Items!$E$5:$E$10,0)</f>
        <v/>
      </c>
      <c r="H28" s="10">
        <f>F28*G28</f>
        <v/>
      </c>
      <c r="I28" s="11">
        <f>ROUND(H28*_xlfn.XLOOKUP(D28,Items!$A$5:$A$10,Items!$F$5:$F$10,0),2)</f>
        <v/>
      </c>
      <c r="J28" s="11">
        <f>H28+I28</f>
        <v/>
      </c>
      <c r="K28" s="10">
        <f>F28*_xlfn.XLOOKUP(D28,Items!$A$5:$A$10,Items!$D$5:$D$10,0)</f>
        <v/>
      </c>
      <c r="L28" s="9">
        <f>B28&amp;"-"&amp;COUNTIF($B$5:B28,B28)</f>
        <v/>
      </c>
    </row>
    <row r="29">
      <c r="A29" s="4" t="n">
        <v>46275</v>
      </c>
      <c r="B29" s="5" t="inlineStr">
        <is>
          <t>AH-012</t>
        </is>
      </c>
      <c r="C29" s="5" t="inlineStr">
        <is>
          <t>K03</t>
        </is>
      </c>
      <c r="D29" s="5" t="inlineStr">
        <is>
          <t>H03</t>
        </is>
      </c>
      <c r="E29" s="9">
        <f>_xlfn.XLOOKUP(D29,Items!$A$5:$A$10,Items!$B$5:$B$10,"Check code")</f>
        <v/>
      </c>
      <c r="F29" s="5" t="n">
        <v>4</v>
      </c>
      <c r="G29" s="10">
        <f>_xlfn.XLOOKUP(D29,Items!$A$5:$A$10,Items!$E$5:$E$10,0)</f>
        <v/>
      </c>
      <c r="H29" s="10">
        <f>F29*G29</f>
        <v/>
      </c>
      <c r="I29" s="11">
        <f>ROUND(H29*_xlfn.XLOOKUP(D29,Items!$A$5:$A$10,Items!$F$5:$F$10,0),2)</f>
        <v/>
      </c>
      <c r="J29" s="11">
        <f>H29+I29</f>
        <v/>
      </c>
      <c r="K29" s="10">
        <f>F29*_xlfn.XLOOKUP(D29,Items!$A$5:$A$10,Items!$D$5:$D$10,0)</f>
        <v/>
      </c>
      <c r="L29" s="9">
        <f>B29&amp;"-"&amp;COUNTIF($B$5:B29,B29)</f>
        <v/>
      </c>
    </row>
    <row r="30">
      <c r="A30" s="4" t="n">
        <v>46275</v>
      </c>
      <c r="B30" s="5" t="inlineStr">
        <is>
          <t>AH-012</t>
        </is>
      </c>
      <c r="C30" s="5" t="inlineStr">
        <is>
          <t>K03</t>
        </is>
      </c>
      <c r="D30" s="5" t="inlineStr">
        <is>
          <t>H05</t>
        </is>
      </c>
      <c r="E30" s="9">
        <f>_xlfn.XLOOKUP(D30,Items!$A$5:$A$10,Items!$B$5:$B$10,"Check code")</f>
        <v/>
      </c>
      <c r="F30" s="5" t="n">
        <v>3</v>
      </c>
      <c r="G30" s="10">
        <f>_xlfn.XLOOKUP(D30,Items!$A$5:$A$10,Items!$E$5:$E$10,0)</f>
        <v/>
      </c>
      <c r="H30" s="10">
        <f>F30*G30</f>
        <v/>
      </c>
      <c r="I30" s="11">
        <f>ROUND(H30*_xlfn.XLOOKUP(D30,Items!$A$5:$A$10,Items!$F$5:$F$10,0),2)</f>
        <v/>
      </c>
      <c r="J30" s="11">
        <f>H30+I30</f>
        <v/>
      </c>
      <c r="K30" s="10">
        <f>F30*_xlfn.XLOOKUP(D30,Items!$A$5:$A$10,Items!$D$5:$D$10,0)</f>
        <v/>
      </c>
      <c r="L30" s="9">
        <f>B30&amp;"-"&amp;COUNTIF($B$5:B30,B30)</f>
        <v/>
      </c>
    </row>
    <row r="31">
      <c r="A31" s="4" t="n">
        <v>46283</v>
      </c>
      <c r="B31" s="5" t="inlineStr">
        <is>
          <t>AH-013</t>
        </is>
      </c>
      <c r="C31" s="5" t="inlineStr">
        <is>
          <t>K04</t>
        </is>
      </c>
      <c r="D31" s="5" t="inlineStr">
        <is>
          <t>H02</t>
        </is>
      </c>
      <c r="E31" s="9">
        <f>_xlfn.XLOOKUP(D31,Items!$A$5:$A$10,Items!$B$5:$B$10,"Check code")</f>
        <v/>
      </c>
      <c r="F31" s="5" t="n">
        <v>2</v>
      </c>
      <c r="G31" s="10">
        <f>_xlfn.XLOOKUP(D31,Items!$A$5:$A$10,Items!$E$5:$E$10,0)</f>
        <v/>
      </c>
      <c r="H31" s="10">
        <f>F31*G31</f>
        <v/>
      </c>
      <c r="I31" s="11">
        <f>ROUND(H31*_xlfn.XLOOKUP(D31,Items!$A$5:$A$10,Items!$F$5:$F$10,0),2)</f>
        <v/>
      </c>
      <c r="J31" s="11">
        <f>H31+I31</f>
        <v/>
      </c>
      <c r="K31" s="10">
        <f>F31*_xlfn.XLOOKUP(D31,Items!$A$5:$A$10,Items!$D$5:$D$10,0)</f>
        <v/>
      </c>
      <c r="L31" s="9">
        <f>B31&amp;"-"&amp;COUNTIF($B$5:B31,B31)</f>
        <v/>
      </c>
    </row>
    <row r="32">
      <c r="A32" s="4" t="n">
        <v>46283</v>
      </c>
      <c r="B32" s="5" t="inlineStr">
        <is>
          <t>AH-013</t>
        </is>
      </c>
      <c r="C32" s="5" t="inlineStr">
        <is>
          <t>K04</t>
        </is>
      </c>
      <c r="D32" s="5" t="inlineStr">
        <is>
          <t>H03</t>
        </is>
      </c>
      <c r="E32" s="9">
        <f>_xlfn.XLOOKUP(D32,Items!$A$5:$A$10,Items!$B$5:$B$10,"Check code")</f>
        <v/>
      </c>
      <c r="F32" s="5" t="n">
        <v>4</v>
      </c>
      <c r="G32" s="10">
        <f>_xlfn.XLOOKUP(D32,Items!$A$5:$A$10,Items!$E$5:$E$10,0)</f>
        <v/>
      </c>
      <c r="H32" s="10">
        <f>F32*G32</f>
        <v/>
      </c>
      <c r="I32" s="11">
        <f>ROUND(H32*_xlfn.XLOOKUP(D32,Items!$A$5:$A$10,Items!$F$5:$F$10,0),2)</f>
        <v/>
      </c>
      <c r="J32" s="11">
        <f>H32+I32</f>
        <v/>
      </c>
      <c r="K32" s="10">
        <f>F32*_xlfn.XLOOKUP(D32,Items!$A$5:$A$10,Items!$D$5:$D$10,0)</f>
        <v/>
      </c>
      <c r="L32" s="9">
        <f>B32&amp;"-"&amp;COUNTIF($B$5:B32,B32)</f>
        <v/>
      </c>
    </row>
    <row r="33">
      <c r="A33" s="4" t="n">
        <v>46283</v>
      </c>
      <c r="B33" s="5" t="inlineStr">
        <is>
          <t>AH-014</t>
        </is>
      </c>
      <c r="C33" s="5" t="inlineStr">
        <is>
          <t>K01</t>
        </is>
      </c>
      <c r="D33" s="5" t="inlineStr">
        <is>
          <t>H01</t>
        </is>
      </c>
      <c r="E33" s="9">
        <f>_xlfn.XLOOKUP(D33,Items!$A$5:$A$10,Items!$B$5:$B$10,"Check code")</f>
        <v/>
      </c>
      <c r="F33" s="5" t="n">
        <v>4</v>
      </c>
      <c r="G33" s="10">
        <f>_xlfn.XLOOKUP(D33,Items!$A$5:$A$10,Items!$E$5:$E$10,0)</f>
        <v/>
      </c>
      <c r="H33" s="10">
        <f>F33*G33</f>
        <v/>
      </c>
      <c r="I33" s="11">
        <f>ROUND(H33*_xlfn.XLOOKUP(D33,Items!$A$5:$A$10,Items!$F$5:$F$10,0),2)</f>
        <v/>
      </c>
      <c r="J33" s="11">
        <f>H33+I33</f>
        <v/>
      </c>
      <c r="K33" s="10">
        <f>F33*_xlfn.XLOOKUP(D33,Items!$A$5:$A$10,Items!$D$5:$D$10,0)</f>
        <v/>
      </c>
      <c r="L33" s="9">
        <f>B33&amp;"-"&amp;COUNTIF($B$5:B33,B33)</f>
        <v/>
      </c>
    </row>
    <row r="34">
      <c r="A34" s="4" t="n">
        <v>46283</v>
      </c>
      <c r="B34" s="5" t="inlineStr">
        <is>
          <t>AH-014</t>
        </is>
      </c>
      <c r="C34" s="5" t="inlineStr">
        <is>
          <t>K01</t>
        </is>
      </c>
      <c r="D34" s="5" t="inlineStr">
        <is>
          <t>H04</t>
        </is>
      </c>
      <c r="E34" s="9">
        <f>_xlfn.XLOOKUP(D34,Items!$A$5:$A$10,Items!$B$5:$B$10,"Check code")</f>
        <v/>
      </c>
      <c r="F34" s="5" t="n">
        <v>1</v>
      </c>
      <c r="G34" s="10">
        <f>_xlfn.XLOOKUP(D34,Items!$A$5:$A$10,Items!$E$5:$E$10,0)</f>
        <v/>
      </c>
      <c r="H34" s="10">
        <f>F34*G34</f>
        <v/>
      </c>
      <c r="I34" s="11">
        <f>ROUND(H34*_xlfn.XLOOKUP(D34,Items!$A$5:$A$10,Items!$F$5:$F$10,0),2)</f>
        <v/>
      </c>
      <c r="J34" s="11">
        <f>H34+I34</f>
        <v/>
      </c>
      <c r="K34" s="10">
        <f>F34*_xlfn.XLOOKUP(D34,Items!$A$5:$A$10,Items!$D$5:$D$10,0)</f>
        <v/>
      </c>
      <c r="L34" s="9">
        <f>B34&amp;"-"&amp;COUNTIF($B$5:B34,B34)</f>
        <v/>
      </c>
    </row>
    <row r="35">
      <c r="A35" s="4" t="n">
        <v>46290</v>
      </c>
      <c r="B35" s="5" t="inlineStr">
        <is>
          <t>AH-015</t>
        </is>
      </c>
      <c r="C35" s="5" t="inlineStr">
        <is>
          <t>K01</t>
        </is>
      </c>
      <c r="D35" s="5" t="inlineStr">
        <is>
          <t>H02</t>
        </is>
      </c>
      <c r="E35" s="9">
        <f>_xlfn.XLOOKUP(D35,Items!$A$5:$A$10,Items!$B$5:$B$10,"Check code")</f>
        <v/>
      </c>
      <c r="F35" s="5" t="n">
        <v>5</v>
      </c>
      <c r="G35" s="10">
        <f>_xlfn.XLOOKUP(D35,Items!$A$5:$A$10,Items!$E$5:$E$10,0)</f>
        <v/>
      </c>
      <c r="H35" s="10">
        <f>F35*G35</f>
        <v/>
      </c>
      <c r="I35" s="11">
        <f>ROUND(H35*_xlfn.XLOOKUP(D35,Items!$A$5:$A$10,Items!$F$5:$F$10,0),2)</f>
        <v/>
      </c>
      <c r="J35" s="11">
        <f>H35+I35</f>
        <v/>
      </c>
      <c r="K35" s="10">
        <f>F35*_xlfn.XLOOKUP(D35,Items!$A$5:$A$10,Items!$D$5:$D$10,0)</f>
        <v/>
      </c>
      <c r="L35" s="9">
        <f>B35&amp;"-"&amp;COUNTIF($B$5:B35,B35)</f>
        <v/>
      </c>
    </row>
    <row r="36">
      <c r="A36" s="4" t="n">
        <v>46290</v>
      </c>
      <c r="B36" s="5" t="inlineStr">
        <is>
          <t>AH-015</t>
        </is>
      </c>
      <c r="C36" s="5" t="inlineStr">
        <is>
          <t>K01</t>
        </is>
      </c>
      <c r="D36" s="5" t="inlineStr">
        <is>
          <t>H04</t>
        </is>
      </c>
      <c r="E36" s="9">
        <f>_xlfn.XLOOKUP(D36,Items!$A$5:$A$10,Items!$B$5:$B$10,"Check code")</f>
        <v/>
      </c>
      <c r="F36" s="5" t="n">
        <v>5</v>
      </c>
      <c r="G36" s="10">
        <f>_xlfn.XLOOKUP(D36,Items!$A$5:$A$10,Items!$E$5:$E$10,0)</f>
        <v/>
      </c>
      <c r="H36" s="10">
        <f>F36*G36</f>
        <v/>
      </c>
      <c r="I36" s="11">
        <f>ROUND(H36*_xlfn.XLOOKUP(D36,Items!$A$5:$A$10,Items!$F$5:$F$10,0),2)</f>
        <v/>
      </c>
      <c r="J36" s="11">
        <f>H36+I36</f>
        <v/>
      </c>
      <c r="K36" s="10">
        <f>F36*_xlfn.XLOOKUP(D36,Items!$A$5:$A$10,Items!$D$5:$D$10,0)</f>
        <v/>
      </c>
      <c r="L36" s="9">
        <f>B36&amp;"-"&amp;COUNTIF($B$5:B36,B36)</f>
        <v/>
      </c>
    </row>
    <row r="37">
      <c r="A37" s="4" t="n">
        <v>46290</v>
      </c>
      <c r="B37" s="5" t="inlineStr">
        <is>
          <t>AH-015</t>
        </is>
      </c>
      <c r="C37" s="5" t="inlineStr">
        <is>
          <t>K01</t>
        </is>
      </c>
      <c r="D37" s="5" t="inlineStr">
        <is>
          <t>H03</t>
        </is>
      </c>
      <c r="E37" s="9">
        <f>_xlfn.XLOOKUP(D37,Items!$A$5:$A$10,Items!$B$5:$B$10,"Check code")</f>
        <v/>
      </c>
      <c r="F37" s="5" t="n">
        <v>20</v>
      </c>
      <c r="G37" s="10">
        <f>_xlfn.XLOOKUP(D37,Items!$A$5:$A$10,Items!$E$5:$E$10,0)</f>
        <v/>
      </c>
      <c r="H37" s="10">
        <f>F37*G37</f>
        <v/>
      </c>
      <c r="I37" s="11">
        <f>ROUND(H37*_xlfn.XLOOKUP(D37,Items!$A$5:$A$10,Items!$F$5:$F$10,0),2)</f>
        <v/>
      </c>
      <c r="J37" s="11">
        <f>H37+I37</f>
        <v/>
      </c>
      <c r="K37" s="10">
        <f>F37*_xlfn.XLOOKUP(D37,Items!$A$5:$A$10,Items!$D$5:$D$10,0)</f>
        <v/>
      </c>
      <c r="L37" s="9">
        <f>B37&amp;"-"&amp;COUNTIF($B$5:B37,B37)</f>
        <v/>
      </c>
    </row>
    <row r="38">
      <c r="A38" s="4" t="n">
        <v>46290</v>
      </c>
      <c r="B38" s="5" t="inlineStr">
        <is>
          <t>AH-016</t>
        </is>
      </c>
      <c r="C38" s="5" t="inlineStr">
        <is>
          <t>K02</t>
        </is>
      </c>
      <c r="D38" s="5" t="inlineStr">
        <is>
          <t>H01</t>
        </is>
      </c>
      <c r="E38" s="9">
        <f>_xlfn.XLOOKUP(D38,Items!$A$5:$A$10,Items!$B$5:$B$10,"Check code")</f>
        <v/>
      </c>
      <c r="F38" s="5" t="n">
        <v>10</v>
      </c>
      <c r="G38" s="10">
        <f>_xlfn.XLOOKUP(D38,Items!$A$5:$A$10,Items!$E$5:$E$10,0)</f>
        <v/>
      </c>
      <c r="H38" s="10">
        <f>F38*G38</f>
        <v/>
      </c>
      <c r="I38" s="11">
        <f>ROUND(H38*_xlfn.XLOOKUP(D38,Items!$A$5:$A$10,Items!$F$5:$F$10,0),2)</f>
        <v/>
      </c>
      <c r="J38" s="11">
        <f>H38+I38</f>
        <v/>
      </c>
      <c r="K38" s="10">
        <f>F38*_xlfn.XLOOKUP(D38,Items!$A$5:$A$10,Items!$D$5:$D$10,0)</f>
        <v/>
      </c>
      <c r="L38" s="9">
        <f>B38&amp;"-"&amp;COUNTIF($B$5:B38,B38)</f>
        <v/>
      </c>
    </row>
    <row r="39">
      <c r="A39" s="4" t="n">
        <v>46290</v>
      </c>
      <c r="B39" s="5" t="inlineStr">
        <is>
          <t>AH-016</t>
        </is>
      </c>
      <c r="C39" s="5" t="inlineStr">
        <is>
          <t>K02</t>
        </is>
      </c>
      <c r="D39" s="5" t="inlineStr">
        <is>
          <t>H05</t>
        </is>
      </c>
      <c r="E39" s="9">
        <f>_xlfn.XLOOKUP(D39,Items!$A$5:$A$10,Items!$B$5:$B$10,"Check code")</f>
        <v/>
      </c>
      <c r="F39" s="5" t="n">
        <v>1</v>
      </c>
      <c r="G39" s="10">
        <f>_xlfn.XLOOKUP(D39,Items!$A$5:$A$10,Items!$E$5:$E$10,0)</f>
        <v/>
      </c>
      <c r="H39" s="10">
        <f>F39*G39</f>
        <v/>
      </c>
      <c r="I39" s="11">
        <f>ROUND(H39*_xlfn.XLOOKUP(D39,Items!$A$5:$A$10,Items!$F$5:$F$10,0),2)</f>
        <v/>
      </c>
      <c r="J39" s="11">
        <f>H39+I39</f>
        <v/>
      </c>
      <c r="K39" s="10">
        <f>F39*_xlfn.XLOOKUP(D39,Items!$A$5:$A$10,Items!$D$5:$D$10,0)</f>
        <v/>
      </c>
      <c r="L39" s="9">
        <f>B39&amp;"-"&amp;COUNTIF($B$5:B39,B39)</f>
        <v/>
      </c>
    </row>
    <row r="40">
      <c r="A40" s="4" t="n">
        <v>46297</v>
      </c>
      <c r="B40" s="5" t="inlineStr">
        <is>
          <t>AH-017</t>
        </is>
      </c>
      <c r="C40" s="5" t="inlineStr">
        <is>
          <t>K02</t>
        </is>
      </c>
      <c r="D40" s="5" t="inlineStr">
        <is>
          <t>H06</t>
        </is>
      </c>
      <c r="E40" s="9">
        <f>_xlfn.XLOOKUP(D40,Items!$A$5:$A$10,Items!$B$5:$B$10,"Check code")</f>
        <v/>
      </c>
      <c r="F40" s="5" t="n">
        <v>4</v>
      </c>
      <c r="G40" s="10">
        <f>_xlfn.XLOOKUP(D40,Items!$A$5:$A$10,Items!$E$5:$E$10,0)</f>
        <v/>
      </c>
      <c r="H40" s="10">
        <f>F40*G40</f>
        <v/>
      </c>
      <c r="I40" s="11">
        <f>ROUND(H40*_xlfn.XLOOKUP(D40,Items!$A$5:$A$10,Items!$F$5:$F$10,0),2)</f>
        <v/>
      </c>
      <c r="J40" s="11">
        <f>H40+I40</f>
        <v/>
      </c>
      <c r="K40" s="10">
        <f>F40*_xlfn.XLOOKUP(D40,Items!$A$5:$A$10,Items!$D$5:$D$10,0)</f>
        <v/>
      </c>
      <c r="L40" s="9">
        <f>B40&amp;"-"&amp;COUNTIF($B$5:B40,B40)</f>
        <v/>
      </c>
    </row>
    <row r="41">
      <c r="A41" s="4" t="n">
        <v>46297</v>
      </c>
      <c r="B41" s="5" t="inlineStr">
        <is>
          <t>AH-017</t>
        </is>
      </c>
      <c r="C41" s="5" t="inlineStr">
        <is>
          <t>K02</t>
        </is>
      </c>
      <c r="D41" s="5" t="inlineStr">
        <is>
          <t>H01</t>
        </is>
      </c>
      <c r="E41" s="9">
        <f>_xlfn.XLOOKUP(D41,Items!$A$5:$A$10,Items!$B$5:$B$10,"Check code")</f>
        <v/>
      </c>
      <c r="F41" s="5" t="n">
        <v>2</v>
      </c>
      <c r="G41" s="10">
        <f>_xlfn.XLOOKUP(D41,Items!$A$5:$A$10,Items!$E$5:$E$10,0)</f>
        <v/>
      </c>
      <c r="H41" s="10">
        <f>F41*G41</f>
        <v/>
      </c>
      <c r="I41" s="11">
        <f>ROUND(H41*_xlfn.XLOOKUP(D41,Items!$A$5:$A$10,Items!$F$5:$F$10,0),2)</f>
        <v/>
      </c>
      <c r="J41" s="11">
        <f>H41+I41</f>
        <v/>
      </c>
      <c r="K41" s="10">
        <f>F41*_xlfn.XLOOKUP(D41,Items!$A$5:$A$10,Items!$D$5:$D$10,0)</f>
        <v/>
      </c>
      <c r="L41" s="9">
        <f>B41&amp;"-"&amp;COUNTIF($B$5:B41,B41)</f>
        <v/>
      </c>
    </row>
    <row r="42">
      <c r="A42" s="4" t="n">
        <v>46297</v>
      </c>
      <c r="B42" s="5" t="inlineStr">
        <is>
          <t>AH-017</t>
        </is>
      </c>
      <c r="C42" s="5" t="inlineStr">
        <is>
          <t>K02</t>
        </is>
      </c>
      <c r="D42" s="5" t="inlineStr">
        <is>
          <t>H04</t>
        </is>
      </c>
      <c r="E42" s="9">
        <f>_xlfn.XLOOKUP(D42,Items!$A$5:$A$10,Items!$B$5:$B$10,"Check code")</f>
        <v/>
      </c>
      <c r="F42" s="5" t="n">
        <v>1</v>
      </c>
      <c r="G42" s="10">
        <f>_xlfn.XLOOKUP(D42,Items!$A$5:$A$10,Items!$E$5:$E$10,0)</f>
        <v/>
      </c>
      <c r="H42" s="10">
        <f>F42*G42</f>
        <v/>
      </c>
      <c r="I42" s="11">
        <f>ROUND(H42*_xlfn.XLOOKUP(D42,Items!$A$5:$A$10,Items!$F$5:$F$10,0),2)</f>
        <v/>
      </c>
      <c r="J42" s="11">
        <f>H42+I42</f>
        <v/>
      </c>
      <c r="K42" s="10">
        <f>F42*_xlfn.XLOOKUP(D42,Items!$A$5:$A$10,Items!$D$5:$D$10,0)</f>
        <v/>
      </c>
      <c r="L42" s="9">
        <f>B42&amp;"-"&amp;COUNTIF($B$5:B42,B42)</f>
        <v/>
      </c>
    </row>
    <row r="43">
      <c r="A43" s="4" t="n">
        <v>46297</v>
      </c>
      <c r="B43" s="5" t="inlineStr">
        <is>
          <t>AH-018</t>
        </is>
      </c>
      <c r="C43" s="5" t="inlineStr">
        <is>
          <t>K04</t>
        </is>
      </c>
      <c r="D43" s="5" t="inlineStr">
        <is>
          <t>H05</t>
        </is>
      </c>
      <c r="E43" s="9">
        <f>_xlfn.XLOOKUP(D43,Items!$A$5:$A$10,Items!$B$5:$B$10,"Check code")</f>
        <v/>
      </c>
      <c r="F43" s="5" t="n">
        <v>3</v>
      </c>
      <c r="G43" s="10">
        <f>_xlfn.XLOOKUP(D43,Items!$A$5:$A$10,Items!$E$5:$E$10,0)</f>
        <v/>
      </c>
      <c r="H43" s="10">
        <f>F43*G43</f>
        <v/>
      </c>
      <c r="I43" s="11">
        <f>ROUND(H43*_xlfn.XLOOKUP(D43,Items!$A$5:$A$10,Items!$F$5:$F$10,0),2)</f>
        <v/>
      </c>
      <c r="J43" s="11">
        <f>H43+I43</f>
        <v/>
      </c>
      <c r="K43" s="10">
        <f>F43*_xlfn.XLOOKUP(D43,Items!$A$5:$A$10,Items!$D$5:$D$10,0)</f>
        <v/>
      </c>
      <c r="L43" s="9">
        <f>B43&amp;"-"&amp;COUNTIF($B$5:B43,B43)</f>
        <v/>
      </c>
    </row>
    <row r="44">
      <c r="A44" s="4" t="n">
        <v>46297</v>
      </c>
      <c r="B44" s="5" t="inlineStr">
        <is>
          <t>AH-018</t>
        </is>
      </c>
      <c r="C44" s="5" t="inlineStr">
        <is>
          <t>K04</t>
        </is>
      </c>
      <c r="D44" s="5" t="inlineStr">
        <is>
          <t>H06</t>
        </is>
      </c>
      <c r="E44" s="9">
        <f>_xlfn.XLOOKUP(D44,Items!$A$5:$A$10,Items!$B$5:$B$10,"Check code")</f>
        <v/>
      </c>
      <c r="F44" s="5" t="n">
        <v>4</v>
      </c>
      <c r="G44" s="10">
        <f>_xlfn.XLOOKUP(D44,Items!$A$5:$A$10,Items!$E$5:$E$10,0)</f>
        <v/>
      </c>
      <c r="H44" s="10">
        <f>F44*G44</f>
        <v/>
      </c>
      <c r="I44" s="11">
        <f>ROUND(H44*_xlfn.XLOOKUP(D44,Items!$A$5:$A$10,Items!$F$5:$F$10,0),2)</f>
        <v/>
      </c>
      <c r="J44" s="11">
        <f>H44+I44</f>
        <v/>
      </c>
      <c r="K44" s="10">
        <f>F44*_xlfn.XLOOKUP(D44,Items!$A$5:$A$10,Items!$D$5:$D$10,0)</f>
        <v/>
      </c>
      <c r="L44" s="9">
        <f>B44&amp;"-"&amp;COUNTIF($B$5:B44,B44)</f>
        <v/>
      </c>
    </row>
    <row r="45">
      <c r="A45" s="4" t="n">
        <v>46297</v>
      </c>
      <c r="B45" s="5" t="inlineStr">
        <is>
          <t>AH-018</t>
        </is>
      </c>
      <c r="C45" s="5" t="inlineStr">
        <is>
          <t>K04</t>
        </is>
      </c>
      <c r="D45" s="5" t="inlineStr">
        <is>
          <t>H04</t>
        </is>
      </c>
      <c r="E45" s="9">
        <f>_xlfn.XLOOKUP(D45,Items!$A$5:$A$10,Items!$B$5:$B$10,"Check code")</f>
        <v/>
      </c>
      <c r="F45" s="5" t="n">
        <v>2</v>
      </c>
      <c r="G45" s="10">
        <f>_xlfn.XLOOKUP(D45,Items!$A$5:$A$10,Items!$E$5:$E$10,0)</f>
        <v/>
      </c>
      <c r="H45" s="10">
        <f>F45*G45</f>
        <v/>
      </c>
      <c r="I45" s="11">
        <f>ROUND(H45*_xlfn.XLOOKUP(D45,Items!$A$5:$A$10,Items!$F$5:$F$10,0),2)</f>
        <v/>
      </c>
      <c r="J45" s="11">
        <f>H45+I45</f>
        <v/>
      </c>
      <c r="K45" s="10">
        <f>F45*_xlfn.XLOOKUP(D45,Items!$A$5:$A$10,Items!$D$5:$D$10,0)</f>
        <v/>
      </c>
      <c r="L45" s="9">
        <f>B45&amp;"-"&amp;COUNTIF($B$5:B45,B45)</f>
        <v/>
      </c>
    </row>
    <row r="46">
      <c r="A46" s="4" t="n">
        <v>46301</v>
      </c>
      <c r="B46" s="5" t="inlineStr">
        <is>
          <t>AH-019</t>
        </is>
      </c>
      <c r="C46" s="5" t="inlineStr">
        <is>
          <t>K02</t>
        </is>
      </c>
      <c r="D46" s="5" t="inlineStr">
        <is>
          <t>H03</t>
        </is>
      </c>
      <c r="E46" s="9">
        <f>_xlfn.XLOOKUP(D46,Items!$A$5:$A$10,Items!$B$5:$B$10,"Check code")</f>
        <v/>
      </c>
      <c r="F46" s="5" t="n">
        <v>5</v>
      </c>
      <c r="G46" s="10">
        <f>_xlfn.XLOOKUP(D46,Items!$A$5:$A$10,Items!$E$5:$E$10,0)</f>
        <v/>
      </c>
      <c r="H46" s="10">
        <f>F46*G46</f>
        <v/>
      </c>
      <c r="I46" s="11">
        <f>ROUND(H46*_xlfn.XLOOKUP(D46,Items!$A$5:$A$10,Items!$F$5:$F$10,0),2)</f>
        <v/>
      </c>
      <c r="J46" s="11">
        <f>H46+I46</f>
        <v/>
      </c>
      <c r="K46" s="10">
        <f>F46*_xlfn.XLOOKUP(D46,Items!$A$5:$A$10,Items!$D$5:$D$10,0)</f>
        <v/>
      </c>
      <c r="L46" s="9">
        <f>B46&amp;"-"&amp;COUNTIF($B$5:B46,B46)</f>
        <v/>
      </c>
    </row>
    <row r="47">
      <c r="A47" s="4" t="n">
        <v>46301</v>
      </c>
      <c r="B47" s="5" t="inlineStr">
        <is>
          <t>AH-019</t>
        </is>
      </c>
      <c r="C47" s="5" t="inlineStr">
        <is>
          <t>K02</t>
        </is>
      </c>
      <c r="D47" s="5" t="inlineStr">
        <is>
          <t>H02</t>
        </is>
      </c>
      <c r="E47" s="9">
        <f>_xlfn.XLOOKUP(D47,Items!$A$5:$A$10,Items!$B$5:$B$10,"Check code")</f>
        <v/>
      </c>
      <c r="F47" s="5" t="n">
        <v>3</v>
      </c>
      <c r="G47" s="10">
        <f>_xlfn.XLOOKUP(D47,Items!$A$5:$A$10,Items!$E$5:$E$10,0)</f>
        <v/>
      </c>
      <c r="H47" s="10">
        <f>F47*G47</f>
        <v/>
      </c>
      <c r="I47" s="11">
        <f>ROUND(H47*_xlfn.XLOOKUP(D47,Items!$A$5:$A$10,Items!$F$5:$F$10,0),2)</f>
        <v/>
      </c>
      <c r="J47" s="11">
        <f>H47+I47</f>
        <v/>
      </c>
      <c r="K47" s="10">
        <f>F47*_xlfn.XLOOKUP(D47,Items!$A$5:$A$10,Items!$D$5:$D$10,0)</f>
        <v/>
      </c>
      <c r="L47" s="9">
        <f>B47&amp;"-"&amp;COUNTIF($B$5:B47,B47)</f>
        <v/>
      </c>
    </row>
    <row r="48">
      <c r="A48" s="4" t="n">
        <v>46301</v>
      </c>
      <c r="B48" s="5" t="inlineStr">
        <is>
          <t>AH-020</t>
        </is>
      </c>
      <c r="C48" s="5" t="inlineStr">
        <is>
          <t>K03</t>
        </is>
      </c>
      <c r="D48" s="5" t="inlineStr">
        <is>
          <t>H05</t>
        </is>
      </c>
      <c r="E48" s="9">
        <f>_xlfn.XLOOKUP(D48,Items!$A$5:$A$10,Items!$B$5:$B$10,"Check code")</f>
        <v/>
      </c>
      <c r="F48" s="5" t="n">
        <v>3</v>
      </c>
      <c r="G48" s="10">
        <f>_xlfn.XLOOKUP(D48,Items!$A$5:$A$10,Items!$E$5:$E$10,0)</f>
        <v/>
      </c>
      <c r="H48" s="10">
        <f>F48*G48</f>
        <v/>
      </c>
      <c r="I48" s="11">
        <f>ROUND(H48*_xlfn.XLOOKUP(D48,Items!$A$5:$A$10,Items!$F$5:$F$10,0),2)</f>
        <v/>
      </c>
      <c r="J48" s="11">
        <f>H48+I48</f>
        <v/>
      </c>
      <c r="K48" s="10">
        <f>F48*_xlfn.XLOOKUP(D48,Items!$A$5:$A$10,Items!$D$5:$D$10,0)</f>
        <v/>
      </c>
      <c r="L48" s="9">
        <f>B48&amp;"-"&amp;COUNTIF($B$5:B48,B48)</f>
        <v/>
      </c>
    </row>
    <row r="49">
      <c r="A49" s="4" t="n">
        <v>46301</v>
      </c>
      <c r="B49" s="5" t="inlineStr">
        <is>
          <t>AH-020</t>
        </is>
      </c>
      <c r="C49" s="5" t="inlineStr">
        <is>
          <t>K03</t>
        </is>
      </c>
      <c r="D49" s="5" t="inlineStr">
        <is>
          <t>H01</t>
        </is>
      </c>
      <c r="E49" s="9">
        <f>_xlfn.XLOOKUP(D49,Items!$A$5:$A$10,Items!$B$5:$B$10,"Check code")</f>
        <v/>
      </c>
      <c r="F49" s="5" t="n">
        <v>4</v>
      </c>
      <c r="G49" s="10">
        <f>_xlfn.XLOOKUP(D49,Items!$A$5:$A$10,Items!$E$5:$E$10,0)</f>
        <v/>
      </c>
      <c r="H49" s="10">
        <f>F49*G49</f>
        <v/>
      </c>
      <c r="I49" s="11">
        <f>ROUND(H49*_xlfn.XLOOKUP(D49,Items!$A$5:$A$10,Items!$F$5:$F$10,0),2)</f>
        <v/>
      </c>
      <c r="J49" s="11">
        <f>H49+I49</f>
        <v/>
      </c>
      <c r="K49" s="10">
        <f>F49*_xlfn.XLOOKUP(D49,Items!$A$5:$A$10,Items!$D$5:$D$10,0)</f>
        <v/>
      </c>
      <c r="L49" s="9">
        <f>B49&amp;"-"&amp;COUNTIF($B$5:B49,B49)</f>
        <v/>
      </c>
    </row>
    <row r="50">
      <c r="A50" s="4" t="n">
        <v>46301</v>
      </c>
      <c r="B50" s="5" t="inlineStr">
        <is>
          <t>AH-020</t>
        </is>
      </c>
      <c r="C50" s="5" t="inlineStr">
        <is>
          <t>K03</t>
        </is>
      </c>
      <c r="D50" s="5" t="inlineStr">
        <is>
          <t>H04</t>
        </is>
      </c>
      <c r="E50" s="9">
        <f>_xlfn.XLOOKUP(D50,Items!$A$5:$A$10,Items!$B$5:$B$10,"Check code")</f>
        <v/>
      </c>
      <c r="F50" s="5" t="n">
        <v>4</v>
      </c>
      <c r="G50" s="10">
        <f>_xlfn.XLOOKUP(D50,Items!$A$5:$A$10,Items!$E$5:$E$10,0)</f>
        <v/>
      </c>
      <c r="H50" s="10">
        <f>F50*G50</f>
        <v/>
      </c>
      <c r="I50" s="11">
        <f>ROUND(H50*_xlfn.XLOOKUP(D50,Items!$A$5:$A$10,Items!$F$5:$F$10,0),2)</f>
        <v/>
      </c>
      <c r="J50" s="11">
        <f>H50+I50</f>
        <v/>
      </c>
      <c r="K50" s="10">
        <f>F50*_xlfn.XLOOKUP(D50,Items!$A$5:$A$10,Items!$D$5:$D$10,0)</f>
        <v/>
      </c>
      <c r="L50" s="9">
        <f>B50&amp;"-"&amp;COUNTIF($B$5:B50,B50)</f>
        <v/>
      </c>
    </row>
    <row r="51">
      <c r="A51" s="4" t="n">
        <v>46304</v>
      </c>
      <c r="B51" s="5" t="inlineStr">
        <is>
          <t>AH-021</t>
        </is>
      </c>
      <c r="C51" s="5" t="inlineStr">
        <is>
          <t>K04</t>
        </is>
      </c>
      <c r="D51" s="5" t="inlineStr">
        <is>
          <t>H05</t>
        </is>
      </c>
      <c r="E51" s="9">
        <f>_xlfn.XLOOKUP(D51,Items!$A$5:$A$10,Items!$B$5:$B$10,"Check code")</f>
        <v/>
      </c>
      <c r="F51" s="5" t="n">
        <v>1</v>
      </c>
      <c r="G51" s="10">
        <f>_xlfn.XLOOKUP(D51,Items!$A$5:$A$10,Items!$E$5:$E$10,0)</f>
        <v/>
      </c>
      <c r="H51" s="10">
        <f>F51*G51</f>
        <v/>
      </c>
      <c r="I51" s="11">
        <f>ROUND(H51*_xlfn.XLOOKUP(D51,Items!$A$5:$A$10,Items!$F$5:$F$10,0),2)</f>
        <v/>
      </c>
      <c r="J51" s="11">
        <f>H51+I51</f>
        <v/>
      </c>
      <c r="K51" s="10">
        <f>F51*_xlfn.XLOOKUP(D51,Items!$A$5:$A$10,Items!$D$5:$D$10,0)</f>
        <v/>
      </c>
      <c r="L51" s="9">
        <f>B51&amp;"-"&amp;COUNTIF($B$5:B51,B51)</f>
        <v/>
      </c>
    </row>
    <row r="52">
      <c r="A52" s="4" t="n">
        <v>46304</v>
      </c>
      <c r="B52" s="5" t="inlineStr">
        <is>
          <t>AH-021</t>
        </is>
      </c>
      <c r="C52" s="5" t="inlineStr">
        <is>
          <t>K04</t>
        </is>
      </c>
      <c r="D52" s="5" t="inlineStr">
        <is>
          <t>H03</t>
        </is>
      </c>
      <c r="E52" s="9">
        <f>_xlfn.XLOOKUP(D52,Items!$A$5:$A$10,Items!$B$5:$B$10,"Check code")</f>
        <v/>
      </c>
      <c r="F52" s="5" t="n">
        <v>10</v>
      </c>
      <c r="G52" s="10">
        <f>_xlfn.XLOOKUP(D52,Items!$A$5:$A$10,Items!$E$5:$E$10,0)</f>
        <v/>
      </c>
      <c r="H52" s="10">
        <f>F52*G52</f>
        <v/>
      </c>
      <c r="I52" s="11">
        <f>ROUND(H52*_xlfn.XLOOKUP(D52,Items!$A$5:$A$10,Items!$F$5:$F$10,0),2)</f>
        <v/>
      </c>
      <c r="J52" s="11">
        <f>H52+I52</f>
        <v/>
      </c>
      <c r="K52" s="10">
        <f>F52*_xlfn.XLOOKUP(D52,Items!$A$5:$A$10,Items!$D$5:$D$10,0)</f>
        <v/>
      </c>
      <c r="L52" s="9">
        <f>B52&amp;"-"&amp;COUNTIF($B$5:B52,B52)</f>
        <v/>
      </c>
    </row>
    <row r="53">
      <c r="A53" s="4" t="n">
        <v>46304</v>
      </c>
      <c r="B53" s="5" t="inlineStr">
        <is>
          <t>AH-021</t>
        </is>
      </c>
      <c r="C53" s="5" t="inlineStr">
        <is>
          <t>K04</t>
        </is>
      </c>
      <c r="D53" s="5" t="inlineStr">
        <is>
          <t>H04</t>
        </is>
      </c>
      <c r="E53" s="9">
        <f>_xlfn.XLOOKUP(D53,Items!$A$5:$A$10,Items!$B$5:$B$10,"Check code")</f>
        <v/>
      </c>
      <c r="F53" s="5" t="n">
        <v>3</v>
      </c>
      <c r="G53" s="10">
        <f>_xlfn.XLOOKUP(D53,Items!$A$5:$A$10,Items!$E$5:$E$10,0)</f>
        <v/>
      </c>
      <c r="H53" s="10">
        <f>F53*G53</f>
        <v/>
      </c>
      <c r="I53" s="11">
        <f>ROUND(H53*_xlfn.XLOOKUP(D53,Items!$A$5:$A$10,Items!$F$5:$F$10,0),2)</f>
        <v/>
      </c>
      <c r="J53" s="11">
        <f>H53+I53</f>
        <v/>
      </c>
      <c r="K53" s="10">
        <f>F53*_xlfn.XLOOKUP(D53,Items!$A$5:$A$10,Items!$D$5:$D$10,0)</f>
        <v/>
      </c>
      <c r="L53" s="9">
        <f>B53&amp;"-"&amp;COUNTIF($B$5:B53,B53)</f>
        <v/>
      </c>
    </row>
    <row r="54">
      <c r="A54" s="4" t="n">
        <v>46304</v>
      </c>
      <c r="B54" s="5" t="inlineStr">
        <is>
          <t>AH-022</t>
        </is>
      </c>
      <c r="C54" s="5" t="inlineStr">
        <is>
          <t>K01</t>
        </is>
      </c>
      <c r="D54" s="5" t="inlineStr">
        <is>
          <t>H04</t>
        </is>
      </c>
      <c r="E54" s="9">
        <f>_xlfn.XLOOKUP(D54,Items!$A$5:$A$10,Items!$B$5:$B$10,"Check code")</f>
        <v/>
      </c>
      <c r="F54" s="5" t="n">
        <v>4</v>
      </c>
      <c r="G54" s="10">
        <f>_xlfn.XLOOKUP(D54,Items!$A$5:$A$10,Items!$E$5:$E$10,0)</f>
        <v/>
      </c>
      <c r="H54" s="10">
        <f>F54*G54</f>
        <v/>
      </c>
      <c r="I54" s="11">
        <f>ROUND(H54*_xlfn.XLOOKUP(D54,Items!$A$5:$A$10,Items!$F$5:$F$10,0),2)</f>
        <v/>
      </c>
      <c r="J54" s="11">
        <f>H54+I54</f>
        <v/>
      </c>
      <c r="K54" s="10">
        <f>F54*_xlfn.XLOOKUP(D54,Items!$A$5:$A$10,Items!$D$5:$D$10,0)</f>
        <v/>
      </c>
      <c r="L54" s="9">
        <f>B54&amp;"-"&amp;COUNTIF($B$5:B54,B54)</f>
        <v/>
      </c>
    </row>
    <row r="55">
      <c r="A55" s="4" t="n">
        <v>46304</v>
      </c>
      <c r="B55" s="5" t="inlineStr">
        <is>
          <t>AH-022</t>
        </is>
      </c>
      <c r="C55" s="5" t="inlineStr">
        <is>
          <t>K01</t>
        </is>
      </c>
      <c r="D55" s="5" t="inlineStr">
        <is>
          <t>H03</t>
        </is>
      </c>
      <c r="E55" s="9">
        <f>_xlfn.XLOOKUP(D55,Items!$A$5:$A$10,Items!$B$5:$B$10,"Check code")</f>
        <v/>
      </c>
      <c r="F55" s="5" t="n">
        <v>10</v>
      </c>
      <c r="G55" s="10">
        <f>_xlfn.XLOOKUP(D55,Items!$A$5:$A$10,Items!$E$5:$E$10,0)</f>
        <v/>
      </c>
      <c r="H55" s="10">
        <f>F55*G55</f>
        <v/>
      </c>
      <c r="I55" s="11">
        <f>ROUND(H55*_xlfn.XLOOKUP(D55,Items!$A$5:$A$10,Items!$F$5:$F$10,0),2)</f>
        <v/>
      </c>
      <c r="J55" s="11">
        <f>H55+I55</f>
        <v/>
      </c>
      <c r="K55" s="10">
        <f>F55*_xlfn.XLOOKUP(D55,Items!$A$5:$A$10,Items!$D$5:$D$10,0)</f>
        <v/>
      </c>
      <c r="L55" s="9">
        <f>B55&amp;"-"&amp;COUNTIF($B$5:B55,B55)</f>
        <v/>
      </c>
    </row>
    <row r="56">
      <c r="A56" s="4" t="n">
        <v>46308</v>
      </c>
      <c r="B56" s="5" t="inlineStr">
        <is>
          <t>AH-023</t>
        </is>
      </c>
      <c r="C56" s="5" t="inlineStr">
        <is>
          <t>K04</t>
        </is>
      </c>
      <c r="D56" s="5" t="inlineStr">
        <is>
          <t>H04</t>
        </is>
      </c>
      <c r="E56" s="9">
        <f>_xlfn.XLOOKUP(D56,Items!$A$5:$A$10,Items!$B$5:$B$10,"Check code")</f>
        <v/>
      </c>
      <c r="F56" s="5" t="n">
        <v>1</v>
      </c>
      <c r="G56" s="10">
        <f>_xlfn.XLOOKUP(D56,Items!$A$5:$A$10,Items!$E$5:$E$10,0)</f>
        <v/>
      </c>
      <c r="H56" s="10">
        <f>F56*G56</f>
        <v/>
      </c>
      <c r="I56" s="11">
        <f>ROUND(H56*_xlfn.XLOOKUP(D56,Items!$A$5:$A$10,Items!$F$5:$F$10,0),2)</f>
        <v/>
      </c>
      <c r="J56" s="11">
        <f>H56+I56</f>
        <v/>
      </c>
      <c r="K56" s="10">
        <f>F56*_xlfn.XLOOKUP(D56,Items!$A$5:$A$10,Items!$D$5:$D$10,0)</f>
        <v/>
      </c>
      <c r="L56" s="9">
        <f>B56&amp;"-"&amp;COUNTIF($B$5:B56,B56)</f>
        <v/>
      </c>
    </row>
    <row r="57">
      <c r="A57" s="4" t="n">
        <v>46308</v>
      </c>
      <c r="B57" s="5" t="inlineStr">
        <is>
          <t>AH-024</t>
        </is>
      </c>
      <c r="C57" s="5" t="inlineStr">
        <is>
          <t>K01</t>
        </is>
      </c>
      <c r="D57" s="5" t="inlineStr">
        <is>
          <t>H05</t>
        </is>
      </c>
      <c r="E57" s="9">
        <f>_xlfn.XLOOKUP(D57,Items!$A$5:$A$10,Items!$B$5:$B$10,"Check code")</f>
        <v/>
      </c>
      <c r="F57" s="5" t="n">
        <v>2</v>
      </c>
      <c r="G57" s="10">
        <f>_xlfn.XLOOKUP(D57,Items!$A$5:$A$10,Items!$E$5:$E$10,0)</f>
        <v/>
      </c>
      <c r="H57" s="10">
        <f>F57*G57</f>
        <v/>
      </c>
      <c r="I57" s="11">
        <f>ROUND(H57*_xlfn.XLOOKUP(D57,Items!$A$5:$A$10,Items!$F$5:$F$10,0),2)</f>
        <v/>
      </c>
      <c r="J57" s="11">
        <f>H57+I57</f>
        <v/>
      </c>
      <c r="K57" s="10">
        <f>F57*_xlfn.XLOOKUP(D57,Items!$A$5:$A$10,Items!$D$5:$D$10,0)</f>
        <v/>
      </c>
      <c r="L57" s="9">
        <f>B57&amp;"-"&amp;COUNTIF($B$5:B57,B57)</f>
        <v/>
      </c>
    </row>
    <row r="58">
      <c r="A58" s="4" t="n">
        <v>46308</v>
      </c>
      <c r="B58" s="5" t="inlineStr">
        <is>
          <t>AH-024</t>
        </is>
      </c>
      <c r="C58" s="5" t="inlineStr">
        <is>
          <t>K01</t>
        </is>
      </c>
      <c r="D58" s="5" t="inlineStr">
        <is>
          <t>H03</t>
        </is>
      </c>
      <c r="E58" s="9">
        <f>_xlfn.XLOOKUP(D58,Items!$A$5:$A$10,Items!$B$5:$B$10,"Check code")</f>
        <v/>
      </c>
      <c r="F58" s="5" t="n">
        <v>4</v>
      </c>
      <c r="G58" s="10">
        <f>_xlfn.XLOOKUP(D58,Items!$A$5:$A$10,Items!$E$5:$E$10,0)</f>
        <v/>
      </c>
      <c r="H58" s="10">
        <f>F58*G58</f>
        <v/>
      </c>
      <c r="I58" s="11">
        <f>ROUND(H58*_xlfn.XLOOKUP(D58,Items!$A$5:$A$10,Items!$F$5:$F$10,0),2)</f>
        <v/>
      </c>
      <c r="J58" s="11">
        <f>H58+I58</f>
        <v/>
      </c>
      <c r="K58" s="10">
        <f>F58*_xlfn.XLOOKUP(D58,Items!$A$5:$A$10,Items!$D$5:$D$10,0)</f>
        <v/>
      </c>
      <c r="L58" s="9">
        <f>B58&amp;"-"&amp;COUNTIF($B$5:B58,B58)</f>
        <v/>
      </c>
    </row>
    <row r="59">
      <c r="A59" s="4" t="n">
        <v>46311</v>
      </c>
      <c r="B59" s="5" t="inlineStr">
        <is>
          <t>AH-025</t>
        </is>
      </c>
      <c r="C59" s="5" t="inlineStr">
        <is>
          <t>K03</t>
        </is>
      </c>
      <c r="D59" s="5" t="inlineStr">
        <is>
          <t>H01</t>
        </is>
      </c>
      <c r="E59" s="9">
        <f>_xlfn.XLOOKUP(D59,Items!$A$5:$A$10,Items!$B$5:$B$10,"Check code")</f>
        <v/>
      </c>
      <c r="F59" s="5" t="n">
        <v>10</v>
      </c>
      <c r="G59" s="10">
        <f>_xlfn.XLOOKUP(D59,Items!$A$5:$A$10,Items!$E$5:$E$10,0)</f>
        <v/>
      </c>
      <c r="H59" s="10">
        <f>F59*G59</f>
        <v/>
      </c>
      <c r="I59" s="11">
        <f>ROUND(H59*_xlfn.XLOOKUP(D59,Items!$A$5:$A$10,Items!$F$5:$F$10,0),2)</f>
        <v/>
      </c>
      <c r="J59" s="11">
        <f>H59+I59</f>
        <v/>
      </c>
      <c r="K59" s="10">
        <f>F59*_xlfn.XLOOKUP(D59,Items!$A$5:$A$10,Items!$D$5:$D$10,0)</f>
        <v/>
      </c>
      <c r="L59" s="9">
        <f>B59&amp;"-"&amp;COUNTIF($B$5:B59,B59)</f>
        <v/>
      </c>
    </row>
    <row r="60">
      <c r="A60" s="4" t="n">
        <v>46311</v>
      </c>
      <c r="B60" s="5" t="inlineStr">
        <is>
          <t>AH-025</t>
        </is>
      </c>
      <c r="C60" s="5" t="inlineStr">
        <is>
          <t>K03</t>
        </is>
      </c>
      <c r="D60" s="5" t="inlineStr">
        <is>
          <t>H06</t>
        </is>
      </c>
      <c r="E60" s="9">
        <f>_xlfn.XLOOKUP(D60,Items!$A$5:$A$10,Items!$B$5:$B$10,"Check code")</f>
        <v/>
      </c>
      <c r="F60" s="5" t="n">
        <v>1</v>
      </c>
      <c r="G60" s="10">
        <f>_xlfn.XLOOKUP(D60,Items!$A$5:$A$10,Items!$E$5:$E$10,0)</f>
        <v/>
      </c>
      <c r="H60" s="10">
        <f>F60*G60</f>
        <v/>
      </c>
      <c r="I60" s="11">
        <f>ROUND(H60*_xlfn.XLOOKUP(D60,Items!$A$5:$A$10,Items!$F$5:$F$10,0),2)</f>
        <v/>
      </c>
      <c r="J60" s="11">
        <f>H60+I60</f>
        <v/>
      </c>
      <c r="K60" s="10">
        <f>F60*_xlfn.XLOOKUP(D60,Items!$A$5:$A$10,Items!$D$5:$D$10,0)</f>
        <v/>
      </c>
      <c r="L60" s="9">
        <f>B60&amp;"-"&amp;COUNTIF($B$5:B60,B60)</f>
        <v/>
      </c>
    </row>
    <row r="61">
      <c r="A61" s="4" t="n">
        <v>46311</v>
      </c>
      <c r="B61" s="5" t="inlineStr">
        <is>
          <t>AH-025</t>
        </is>
      </c>
      <c r="C61" s="5" t="inlineStr">
        <is>
          <t>K03</t>
        </is>
      </c>
      <c r="D61" s="5" t="inlineStr">
        <is>
          <t>H02</t>
        </is>
      </c>
      <c r="E61" s="9">
        <f>_xlfn.XLOOKUP(D61,Items!$A$5:$A$10,Items!$B$5:$B$10,"Check code")</f>
        <v/>
      </c>
      <c r="F61" s="5" t="n">
        <v>3</v>
      </c>
      <c r="G61" s="10">
        <f>_xlfn.XLOOKUP(D61,Items!$A$5:$A$10,Items!$E$5:$E$10,0)</f>
        <v/>
      </c>
      <c r="H61" s="10">
        <f>F61*G61</f>
        <v/>
      </c>
      <c r="I61" s="11">
        <f>ROUND(H61*_xlfn.XLOOKUP(D61,Items!$A$5:$A$10,Items!$F$5:$F$10,0),2)</f>
        <v/>
      </c>
      <c r="J61" s="11">
        <f>H61+I61</f>
        <v/>
      </c>
      <c r="K61" s="10">
        <f>F61*_xlfn.XLOOKUP(D61,Items!$A$5:$A$10,Items!$D$5:$D$10,0)</f>
        <v/>
      </c>
      <c r="L61" s="9">
        <f>B61&amp;"-"&amp;COUNTIF($B$5:B61,B61)</f>
        <v/>
      </c>
    </row>
    <row r="62">
      <c r="A62" s="4" t="n">
        <v>46311</v>
      </c>
      <c r="B62" s="5" t="inlineStr">
        <is>
          <t>AH-026</t>
        </is>
      </c>
      <c r="C62" s="5" t="inlineStr">
        <is>
          <t>K02</t>
        </is>
      </c>
      <c r="D62" s="5" t="inlineStr">
        <is>
          <t>H04</t>
        </is>
      </c>
      <c r="E62" s="9">
        <f>_xlfn.XLOOKUP(D62,Items!$A$5:$A$10,Items!$B$5:$B$10,"Check code")</f>
        <v/>
      </c>
      <c r="F62" s="5" t="n">
        <v>5</v>
      </c>
      <c r="G62" s="10">
        <f>_xlfn.XLOOKUP(D62,Items!$A$5:$A$10,Items!$E$5:$E$10,0)</f>
        <v/>
      </c>
      <c r="H62" s="10">
        <f>F62*G62</f>
        <v/>
      </c>
      <c r="I62" s="11">
        <f>ROUND(H62*_xlfn.XLOOKUP(D62,Items!$A$5:$A$10,Items!$F$5:$F$10,0),2)</f>
        <v/>
      </c>
      <c r="J62" s="11">
        <f>H62+I62</f>
        <v/>
      </c>
      <c r="K62" s="10">
        <f>F62*_xlfn.XLOOKUP(D62,Items!$A$5:$A$10,Items!$D$5:$D$10,0)</f>
        <v/>
      </c>
      <c r="L62" s="9">
        <f>B62&amp;"-"&amp;COUNTIF($B$5:B62,B62)</f>
        <v/>
      </c>
    </row>
    <row r="63">
      <c r="A63" s="4" t="n">
        <v>46311</v>
      </c>
      <c r="B63" s="5" t="inlineStr">
        <is>
          <t>AH-026</t>
        </is>
      </c>
      <c r="C63" s="5" t="inlineStr">
        <is>
          <t>K02</t>
        </is>
      </c>
      <c r="D63" s="5" t="inlineStr">
        <is>
          <t>H03</t>
        </is>
      </c>
      <c r="E63" s="9">
        <f>_xlfn.XLOOKUP(D63,Items!$A$5:$A$10,Items!$B$5:$B$10,"Check code")</f>
        <v/>
      </c>
      <c r="F63" s="5" t="n">
        <v>10</v>
      </c>
      <c r="G63" s="10">
        <f>_xlfn.XLOOKUP(D63,Items!$A$5:$A$10,Items!$E$5:$E$10,0)</f>
        <v/>
      </c>
      <c r="H63" s="10">
        <f>F63*G63</f>
        <v/>
      </c>
      <c r="I63" s="11">
        <f>ROUND(H63*_xlfn.XLOOKUP(D63,Items!$A$5:$A$10,Items!$F$5:$F$10,0),2)</f>
        <v/>
      </c>
      <c r="J63" s="11">
        <f>H63+I63</f>
        <v/>
      </c>
      <c r="K63" s="10">
        <f>F63*_xlfn.XLOOKUP(D63,Items!$A$5:$A$10,Items!$D$5:$D$10,0)</f>
        <v/>
      </c>
      <c r="L63" s="9">
        <f>B63&amp;"-"&amp;COUNTIF($B$5:B63,B63)</f>
        <v/>
      </c>
    </row>
  </sheetData>
  <dataValidations count="2">
    <dataValidation sqref="C5:C3000" showDropDown="0" showInputMessage="0" showErrorMessage="1" allowBlank="1" errorTitle="Not in the list" error="Pick a value from the list" type="list">
      <formula1>=Customers!$A$5:$A$100</formula1>
    </dataValidation>
    <dataValidation sqref="D5:D3000" showDropDown="0" showInputMessage="0" showErrorMessage="1" allowBlank="1" errorTitle="Not in the list" error="Pick a value from the list" type="list">
      <formula1>=Items!$A$5:$A$100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13" customWidth="1" min="4" max="4"/>
  </cols>
  <sheetData>
    <row r="1">
      <c r="A1" s="1" t="inlineStr">
        <is>
          <t>Payments received</t>
        </is>
      </c>
    </row>
    <row r="2">
      <c r="A2" s="2" t="inlineStr">
        <is>
          <t>One row per payment.</t>
        </is>
      </c>
    </row>
    <row r="4">
      <c r="A4" s="6" t="inlineStr">
        <is>
          <t>Date</t>
        </is>
      </c>
      <c r="B4" s="6" t="inlineStr">
        <is>
          <t>Customer ID</t>
        </is>
      </c>
      <c r="C4" s="6" t="inlineStr">
        <is>
          <t>Amount (₹)</t>
        </is>
      </c>
      <c r="D4" s="6" t="inlineStr">
        <is>
          <t>Mode</t>
        </is>
      </c>
    </row>
    <row r="5">
      <c r="A5" s="4" t="n">
        <v>46239</v>
      </c>
      <c r="B5" s="5" t="inlineStr">
        <is>
          <t>K04</t>
        </is>
      </c>
      <c r="C5" s="12" t="n">
        <v>7988.6</v>
      </c>
      <c r="D5" s="5" t="inlineStr">
        <is>
          <t>Cash</t>
        </is>
      </c>
    </row>
    <row r="6">
      <c r="A6" s="4" t="n">
        <v>46246</v>
      </c>
      <c r="B6" s="5" t="inlineStr">
        <is>
          <t>K04</t>
        </is>
      </c>
      <c r="C6" s="12" t="n">
        <v>1109.2</v>
      </c>
      <c r="D6" s="5" t="inlineStr">
        <is>
          <t>Cash</t>
        </is>
      </c>
    </row>
    <row r="7">
      <c r="A7" s="4" t="n">
        <v>46275</v>
      </c>
      <c r="B7" s="5" t="inlineStr">
        <is>
          <t>K04</t>
        </is>
      </c>
      <c r="C7" s="12" t="n">
        <v>14938.8</v>
      </c>
      <c r="D7" s="5" t="inlineStr">
        <is>
          <t>Cash</t>
        </is>
      </c>
    </row>
    <row r="8">
      <c r="A8" s="4" t="n">
        <v>46283</v>
      </c>
      <c r="B8" s="5" t="inlineStr">
        <is>
          <t>K04</t>
        </is>
      </c>
      <c r="C8" s="12" t="n">
        <v>9605.200000000001</v>
      </c>
      <c r="D8" s="5" t="inlineStr">
        <is>
          <t>Cash</t>
        </is>
      </c>
    </row>
    <row r="9">
      <c r="A9" s="4" t="n">
        <v>46285</v>
      </c>
      <c r="B9" s="5" t="inlineStr">
        <is>
          <t>K01</t>
        </is>
      </c>
      <c r="C9" s="12" t="n">
        <v>50400</v>
      </c>
      <c r="D9" s="5" t="inlineStr">
        <is>
          <t>Bank transfer</t>
        </is>
      </c>
    </row>
    <row r="10">
      <c r="A10" s="4" t="n">
        <v>46285</v>
      </c>
      <c r="B10" s="5" t="inlineStr">
        <is>
          <t>K02</t>
        </is>
      </c>
      <c r="C10" s="12" t="n">
        <v>15200</v>
      </c>
      <c r="D10" s="5" t="inlineStr">
        <is>
          <t>Bank transfer</t>
        </is>
      </c>
    </row>
    <row r="11">
      <c r="A11" s="4" t="n">
        <v>46285</v>
      </c>
      <c r="B11" s="5" t="inlineStr">
        <is>
          <t>K03</t>
        </is>
      </c>
      <c r="C11" s="12" t="n">
        <v>4800</v>
      </c>
      <c r="D11" s="5" t="inlineStr">
        <is>
          <t>Bank transfer</t>
        </is>
      </c>
    </row>
    <row r="12">
      <c r="A12" s="4" t="n">
        <v>46297</v>
      </c>
      <c r="B12" s="5" t="inlineStr">
        <is>
          <t>K04</t>
        </is>
      </c>
      <c r="C12" s="12" t="n">
        <v>8389.799999999999</v>
      </c>
      <c r="D12" s="5" t="inlineStr">
        <is>
          <t>Cash</t>
        </is>
      </c>
    </row>
    <row r="13">
      <c r="A13" s="4" t="n">
        <v>46304</v>
      </c>
      <c r="B13" s="5" t="inlineStr">
        <is>
          <t>K04</t>
        </is>
      </c>
      <c r="C13" s="12" t="n">
        <v>7398.6</v>
      </c>
      <c r="D13" s="5" t="inlineStr">
        <is>
          <t>Cash</t>
        </is>
      </c>
    </row>
    <row r="14">
      <c r="A14" s="4" t="n">
        <v>46305</v>
      </c>
      <c r="B14" s="5" t="inlineStr">
        <is>
          <t>K01</t>
        </is>
      </c>
      <c r="C14" s="12" t="n">
        <v>40000</v>
      </c>
      <c r="D14" s="5" t="inlineStr">
        <is>
          <t>Cheque</t>
        </is>
      </c>
    </row>
    <row r="15">
      <c r="A15" s="4" t="n">
        <v>46308</v>
      </c>
      <c r="B15" s="5" t="inlineStr">
        <is>
          <t>K04</t>
        </is>
      </c>
      <c r="C15" s="12" t="n">
        <v>1947</v>
      </c>
      <c r="D15" s="5" t="inlineStr">
        <is>
          <t>Cash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12" customWidth="1" min="3" max="3"/>
    <col width="12" customWidth="1" min="4" max="4"/>
    <col width="14" customWidth="1" min="5" max="5"/>
    <col width="13" customWidth="1" min="6" max="6"/>
    <col width="13" customWidth="1" min="7" max="7"/>
    <col width="14" customWidth="1" min="8" max="8"/>
    <col width="13" customWidth="1" min="9" max="9"/>
    <col width="12" customWidth="1" min="10" max="10"/>
  </cols>
  <sheetData>
    <row r="1">
      <c r="A1" s="1" t="inlineStr">
        <is>
          <t>Customer ledger and ageing</t>
        </is>
      </c>
    </row>
    <row r="2">
      <c r="A2" s="2" t="inlineStr">
        <is>
          <t>Payments clear the oldest bills first, so what is unpaid is the newest billing. Ageing by invoice date.</t>
        </is>
      </c>
    </row>
    <row r="4">
      <c r="A4" s="6" t="inlineStr">
        <is>
          <t>Customer ID</t>
        </is>
      </c>
      <c r="B4" s="6" t="inlineStr">
        <is>
          <t>Customer</t>
        </is>
      </c>
      <c r="C4" s="6" t="inlineStr">
        <is>
          <t>Billed (₹)</t>
        </is>
      </c>
      <c r="D4" s="6" t="inlineStr">
        <is>
          <t>Paid (₹)</t>
        </is>
      </c>
      <c r="E4" s="6" t="inlineStr">
        <is>
          <t>Outstanding (₹)</t>
        </is>
      </c>
      <c r="F4" s="6" t="inlineStr">
        <is>
          <t>0-30 days (₹)</t>
        </is>
      </c>
      <c r="G4" s="6" t="inlineStr">
        <is>
          <t>31-60 days (₹)</t>
        </is>
      </c>
      <c r="H4" s="6" t="inlineStr">
        <is>
          <t>Over 60 days (₹)</t>
        </is>
      </c>
      <c r="I4" s="6" t="inlineStr">
        <is>
          <t>Credit limit (₹)</t>
        </is>
      </c>
      <c r="J4" s="6" t="inlineStr">
        <is>
          <t>Flag</t>
        </is>
      </c>
    </row>
    <row r="5">
      <c r="A5" s="9">
        <f>Customers!A5</f>
        <v/>
      </c>
      <c r="B5" s="9">
        <f>Customers!B5</f>
        <v/>
      </c>
      <c r="C5" s="11">
        <f>SUMIFS(Invoices!$J$5:$J$3000,Invoices!$C$5:$C$3000,A5)</f>
        <v/>
      </c>
      <c r="D5" s="11">
        <f>SUMIFS(Payments!$C$5:$C$1000,Payments!$B$5:$B$1000,A5)</f>
        <v/>
      </c>
      <c r="E5" s="11">
        <f>C5-D5</f>
        <v/>
      </c>
      <c r="F5" s="11">
        <f>MIN(E5,SUMIFS(Invoices!$J$5:$J$3000,Invoices!$C$5:$C$3000,A5,Invoices!$A$5:$A$3000,"&gt;="&amp;(Setup!$B$3-30)))</f>
        <v/>
      </c>
      <c r="G5" s="11">
        <f>MIN(E5-F5,SUMIFS(Invoices!$J$5:$J$3000,Invoices!$C$5:$C$3000,A5,Invoices!$A$5:$A$3000,"&lt;"&amp;(Setup!$B$3-30),Invoices!$A$5:$A$3000,"&gt;="&amp;(Setup!$B$3-60)))</f>
        <v/>
      </c>
      <c r="H5" s="11">
        <f>E5-F5-G5</f>
        <v/>
      </c>
      <c r="I5" s="10">
        <f>Customers!D5</f>
        <v/>
      </c>
      <c r="J5" s="9">
        <f>IF(AND(I5&gt;0,E5&gt;I5),"Over limit",IF(H5&gt;0,"Over 60 days","OK"))</f>
        <v/>
      </c>
    </row>
    <row r="6">
      <c r="A6" s="9">
        <f>Customers!A6</f>
        <v/>
      </c>
      <c r="B6" s="9">
        <f>Customers!B6</f>
        <v/>
      </c>
      <c r="C6" s="11">
        <f>SUMIFS(Invoices!$J$5:$J$3000,Invoices!$C$5:$C$3000,A6)</f>
        <v/>
      </c>
      <c r="D6" s="11">
        <f>SUMIFS(Payments!$C$5:$C$1000,Payments!$B$5:$B$1000,A6)</f>
        <v/>
      </c>
      <c r="E6" s="11">
        <f>C6-D6</f>
        <v/>
      </c>
      <c r="F6" s="11">
        <f>MIN(E6,SUMIFS(Invoices!$J$5:$J$3000,Invoices!$C$5:$C$3000,A6,Invoices!$A$5:$A$3000,"&gt;="&amp;(Setup!$B$3-30)))</f>
        <v/>
      </c>
      <c r="G6" s="11">
        <f>MIN(E6-F6,SUMIFS(Invoices!$J$5:$J$3000,Invoices!$C$5:$C$3000,A6,Invoices!$A$5:$A$3000,"&lt;"&amp;(Setup!$B$3-30),Invoices!$A$5:$A$3000,"&gt;="&amp;(Setup!$B$3-60)))</f>
        <v/>
      </c>
      <c r="H6" s="11">
        <f>E6-F6-G6</f>
        <v/>
      </c>
      <c r="I6" s="10">
        <f>Customers!D6</f>
        <v/>
      </c>
      <c r="J6" s="9">
        <f>IF(AND(I6&gt;0,E6&gt;I6),"Over limit",IF(H6&gt;0,"Over 60 days","OK"))</f>
        <v/>
      </c>
    </row>
    <row r="7">
      <c r="A7" s="9">
        <f>Customers!A7</f>
        <v/>
      </c>
      <c r="B7" s="9">
        <f>Customers!B7</f>
        <v/>
      </c>
      <c r="C7" s="11">
        <f>SUMIFS(Invoices!$J$5:$J$3000,Invoices!$C$5:$C$3000,A7)</f>
        <v/>
      </c>
      <c r="D7" s="11">
        <f>SUMIFS(Payments!$C$5:$C$1000,Payments!$B$5:$B$1000,A7)</f>
        <v/>
      </c>
      <c r="E7" s="11">
        <f>C7-D7</f>
        <v/>
      </c>
      <c r="F7" s="11">
        <f>MIN(E7,SUMIFS(Invoices!$J$5:$J$3000,Invoices!$C$5:$C$3000,A7,Invoices!$A$5:$A$3000,"&gt;="&amp;(Setup!$B$3-30)))</f>
        <v/>
      </c>
      <c r="G7" s="11">
        <f>MIN(E7-F7,SUMIFS(Invoices!$J$5:$J$3000,Invoices!$C$5:$C$3000,A7,Invoices!$A$5:$A$3000,"&lt;"&amp;(Setup!$B$3-30),Invoices!$A$5:$A$3000,"&gt;="&amp;(Setup!$B$3-60)))</f>
        <v/>
      </c>
      <c r="H7" s="11">
        <f>E7-F7-G7</f>
        <v/>
      </c>
      <c r="I7" s="10">
        <f>Customers!D7</f>
        <v/>
      </c>
      <c r="J7" s="9">
        <f>IF(AND(I7&gt;0,E7&gt;I7),"Over limit",IF(H7&gt;0,"Over 60 days","OK"))</f>
        <v/>
      </c>
    </row>
    <row r="8">
      <c r="A8" s="9">
        <f>Customers!A8</f>
        <v/>
      </c>
      <c r="B8" s="9">
        <f>Customers!B8</f>
        <v/>
      </c>
      <c r="C8" s="11">
        <f>SUMIFS(Invoices!$J$5:$J$3000,Invoices!$C$5:$C$3000,A8)</f>
        <v/>
      </c>
      <c r="D8" s="11">
        <f>SUMIFS(Payments!$C$5:$C$1000,Payments!$B$5:$B$1000,A8)</f>
        <v/>
      </c>
      <c r="E8" s="11">
        <f>C8-D8</f>
        <v/>
      </c>
      <c r="F8" s="11">
        <f>MIN(E8,SUMIFS(Invoices!$J$5:$J$3000,Invoices!$C$5:$C$3000,A8,Invoices!$A$5:$A$3000,"&gt;="&amp;(Setup!$B$3-30)))</f>
        <v/>
      </c>
      <c r="G8" s="11">
        <f>MIN(E8-F8,SUMIFS(Invoices!$J$5:$J$3000,Invoices!$C$5:$C$3000,A8,Invoices!$A$5:$A$3000,"&lt;"&amp;(Setup!$B$3-30),Invoices!$A$5:$A$3000,"&gt;="&amp;(Setup!$B$3-60)))</f>
        <v/>
      </c>
      <c r="H8" s="11">
        <f>E8-F8-G8</f>
        <v/>
      </c>
      <c r="I8" s="10">
        <f>Customers!D8</f>
        <v/>
      </c>
      <c r="J8" s="9">
        <f>IF(AND(I8&gt;0,E8&gt;I8),"Over limit",IF(H8&gt;0,"Over 60 days","OK"))</f>
        <v/>
      </c>
    </row>
    <row r="9">
      <c r="B9" s="13" t="inlineStr">
        <is>
          <t>Total</t>
        </is>
      </c>
      <c r="C9" s="14">
        <f>SUM(C5:C8)</f>
        <v/>
      </c>
      <c r="D9" s="14">
        <f>SUM(D5:D8)</f>
        <v/>
      </c>
      <c r="E9" s="14">
        <f>SUM(E5:E8)</f>
        <v/>
      </c>
      <c r="F9" s="14">
        <f>SUM(F5:F8)</f>
        <v/>
      </c>
      <c r="G9" s="14">
        <f>SUM(G5:G8)</f>
        <v/>
      </c>
      <c r="H9" s="14">
        <f>SUM(H5:H8)</f>
        <v/>
      </c>
    </row>
  </sheetData>
  <conditionalFormatting sqref="A5:J8">
    <cfRule type="expression" priority="1" dxfId="0">
      <formula>$J5&lt;&gt;"OK"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8" customWidth="1" min="3" max="3"/>
    <col width="6" customWidth="1" min="4" max="4"/>
    <col width="8" customWidth="1" min="5" max="5"/>
    <col width="7" customWidth="1" min="6" max="6"/>
    <col width="11" customWidth="1" min="7" max="7"/>
    <col width="14" customWidth="1" min="8" max="8"/>
    <col width="9" customWidth="1" min="9" max="9"/>
  </cols>
  <sheetData>
    <row r="1">
      <c r="A1" s="1" t="inlineStr">
        <is>
          <t>Stock and margin</t>
        </is>
      </c>
    </row>
    <row r="2">
      <c r="A2" s="2" t="inlineStr">
        <is>
          <t>Closing = opening − sold since August. Margin = price − cost.</t>
        </is>
      </c>
    </row>
    <row r="4">
      <c r="A4" s="6" t="inlineStr">
        <is>
          <t>Code</t>
        </is>
      </c>
      <c r="B4" s="6" t="inlineStr">
        <is>
          <t>Item</t>
        </is>
      </c>
      <c r="C4" s="6" t="inlineStr">
        <is>
          <t>Opening</t>
        </is>
      </c>
      <c r="D4" s="6" t="inlineStr">
        <is>
          <t>Sold</t>
        </is>
      </c>
      <c r="E4" s="6" t="inlineStr">
        <is>
          <t>Closing</t>
        </is>
      </c>
      <c r="F4" s="6" t="inlineStr">
        <is>
          <t>Order?</t>
        </is>
      </c>
      <c r="G4" s="6" t="inlineStr">
        <is>
          <t>Sales (₹)</t>
        </is>
      </c>
      <c r="H4" s="6" t="inlineStr">
        <is>
          <t>Gross margin (₹)</t>
        </is>
      </c>
      <c r="I4" s="6" t="inlineStr">
        <is>
          <t>Margin %</t>
        </is>
      </c>
    </row>
    <row r="5">
      <c r="A5" s="9">
        <f>Items!A5</f>
        <v/>
      </c>
      <c r="B5" s="9">
        <f>Items!B5</f>
        <v/>
      </c>
      <c r="C5" s="9">
        <f>Items!G5</f>
        <v/>
      </c>
      <c r="D5" s="9">
        <f>SUMIFS(Invoices!$F$5:$F$3000,Invoices!$D$5:$D$3000,A5)</f>
        <v/>
      </c>
      <c r="E5" s="9">
        <f>C5-D5</f>
        <v/>
      </c>
      <c r="F5" s="9">
        <f>IF(E5&lt;=Items!H5,"Yes","No")</f>
        <v/>
      </c>
      <c r="G5" s="10">
        <f>SUMIFS(Invoices!$H$5:$H$3000,Invoices!$D$5:$D$3000,A5)</f>
        <v/>
      </c>
      <c r="H5" s="10">
        <f>G5-SUMIFS(Invoices!$K$5:$K$3000,Invoices!$D$5:$D$3000,A5)</f>
        <v/>
      </c>
      <c r="I5" s="15">
        <f>IFERROR(H5/G5,0)</f>
        <v/>
      </c>
    </row>
    <row r="6">
      <c r="A6" s="9">
        <f>Items!A6</f>
        <v/>
      </c>
      <c r="B6" s="9">
        <f>Items!B6</f>
        <v/>
      </c>
      <c r="C6" s="9">
        <f>Items!G6</f>
        <v/>
      </c>
      <c r="D6" s="9">
        <f>SUMIFS(Invoices!$F$5:$F$3000,Invoices!$D$5:$D$3000,A6)</f>
        <v/>
      </c>
      <c r="E6" s="9">
        <f>C6-D6</f>
        <v/>
      </c>
      <c r="F6" s="9">
        <f>IF(E6&lt;=Items!H6,"Yes","No")</f>
        <v/>
      </c>
      <c r="G6" s="10">
        <f>SUMIFS(Invoices!$H$5:$H$3000,Invoices!$D$5:$D$3000,A6)</f>
        <v/>
      </c>
      <c r="H6" s="10">
        <f>G6-SUMIFS(Invoices!$K$5:$K$3000,Invoices!$D$5:$D$3000,A6)</f>
        <v/>
      </c>
      <c r="I6" s="15">
        <f>IFERROR(H6/G6,0)</f>
        <v/>
      </c>
    </row>
    <row r="7">
      <c r="A7" s="9">
        <f>Items!A7</f>
        <v/>
      </c>
      <c r="B7" s="9">
        <f>Items!B7</f>
        <v/>
      </c>
      <c r="C7" s="9">
        <f>Items!G7</f>
        <v/>
      </c>
      <c r="D7" s="9">
        <f>SUMIFS(Invoices!$F$5:$F$3000,Invoices!$D$5:$D$3000,A7)</f>
        <v/>
      </c>
      <c r="E7" s="9">
        <f>C7-D7</f>
        <v/>
      </c>
      <c r="F7" s="9">
        <f>IF(E7&lt;=Items!H7,"Yes","No")</f>
        <v/>
      </c>
      <c r="G7" s="10">
        <f>SUMIFS(Invoices!$H$5:$H$3000,Invoices!$D$5:$D$3000,A7)</f>
        <v/>
      </c>
      <c r="H7" s="10">
        <f>G7-SUMIFS(Invoices!$K$5:$K$3000,Invoices!$D$5:$D$3000,A7)</f>
        <v/>
      </c>
      <c r="I7" s="15">
        <f>IFERROR(H7/G7,0)</f>
        <v/>
      </c>
    </row>
    <row r="8">
      <c r="A8" s="9">
        <f>Items!A8</f>
        <v/>
      </c>
      <c r="B8" s="9">
        <f>Items!B8</f>
        <v/>
      </c>
      <c r="C8" s="9">
        <f>Items!G8</f>
        <v/>
      </c>
      <c r="D8" s="9">
        <f>SUMIFS(Invoices!$F$5:$F$3000,Invoices!$D$5:$D$3000,A8)</f>
        <v/>
      </c>
      <c r="E8" s="9">
        <f>C8-D8</f>
        <v/>
      </c>
      <c r="F8" s="9">
        <f>IF(E8&lt;=Items!H8,"Yes","No")</f>
        <v/>
      </c>
      <c r="G8" s="10">
        <f>SUMIFS(Invoices!$H$5:$H$3000,Invoices!$D$5:$D$3000,A8)</f>
        <v/>
      </c>
      <c r="H8" s="10">
        <f>G8-SUMIFS(Invoices!$K$5:$K$3000,Invoices!$D$5:$D$3000,A8)</f>
        <v/>
      </c>
      <c r="I8" s="15">
        <f>IFERROR(H8/G8,0)</f>
        <v/>
      </c>
    </row>
    <row r="9">
      <c r="A9" s="9">
        <f>Items!A9</f>
        <v/>
      </c>
      <c r="B9" s="9">
        <f>Items!B9</f>
        <v/>
      </c>
      <c r="C9" s="9">
        <f>Items!G9</f>
        <v/>
      </c>
      <c r="D9" s="9">
        <f>SUMIFS(Invoices!$F$5:$F$3000,Invoices!$D$5:$D$3000,A9)</f>
        <v/>
      </c>
      <c r="E9" s="9">
        <f>C9-D9</f>
        <v/>
      </c>
      <c r="F9" s="9">
        <f>IF(E9&lt;=Items!H9,"Yes","No")</f>
        <v/>
      </c>
      <c r="G9" s="10">
        <f>SUMIFS(Invoices!$H$5:$H$3000,Invoices!$D$5:$D$3000,A9)</f>
        <v/>
      </c>
      <c r="H9" s="10">
        <f>G9-SUMIFS(Invoices!$K$5:$K$3000,Invoices!$D$5:$D$3000,A9)</f>
        <v/>
      </c>
      <c r="I9" s="15">
        <f>IFERROR(H9/G9,0)</f>
        <v/>
      </c>
    </row>
    <row r="10">
      <c r="A10" s="9">
        <f>Items!A10</f>
        <v/>
      </c>
      <c r="B10" s="9">
        <f>Items!B10</f>
        <v/>
      </c>
      <c r="C10" s="9">
        <f>Items!G10</f>
        <v/>
      </c>
      <c r="D10" s="9">
        <f>SUMIFS(Invoices!$F$5:$F$3000,Invoices!$D$5:$D$3000,A10)</f>
        <v/>
      </c>
      <c r="E10" s="9">
        <f>C10-D10</f>
        <v/>
      </c>
      <c r="F10" s="9">
        <f>IF(E10&lt;=Items!H10,"Yes","No")</f>
        <v/>
      </c>
      <c r="G10" s="10">
        <f>SUMIFS(Invoices!$H$5:$H$3000,Invoices!$D$5:$D$3000,A10)</f>
        <v/>
      </c>
      <c r="H10" s="10">
        <f>G10-SUMIFS(Invoices!$K$5:$K$3000,Invoices!$D$5:$D$3000,A10)</f>
        <v/>
      </c>
      <c r="I10" s="15">
        <f>IFERROR(H10/G10,0)</f>
        <v/>
      </c>
    </row>
  </sheetData>
  <conditionalFormatting sqref="F5:F10">
    <cfRule type="cellIs" priority="1" operator="equal" dxfId="1">
      <formula>"Yes"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6" customWidth="1" min="3" max="3"/>
    <col width="12" customWidth="1" min="4" max="4"/>
    <col width="12" customWidth="1" min="5" max="5"/>
    <col width="11" customWidth="1" min="6" max="6"/>
  </cols>
  <sheetData>
    <row r="1">
      <c r="A1" s="1" t="inlineStr">
        <is>
          <t>Printable tax invoice</t>
        </is>
      </c>
    </row>
    <row r="2">
      <c r="A2" s="2" t="inlineStr">
        <is>
          <t>Type an invoice number in B4; up to 4 lines fill from Invoices. CGST and SGST are half of GST each for a sale within the state. Print A1:F18.</t>
        </is>
      </c>
    </row>
    <row r="3">
      <c r="A3" s="3" t="inlineStr">
        <is>
          <t>Amir Hardware, Sambhaji Nagar (GSTIN: your GSTIN)</t>
        </is>
      </c>
    </row>
    <row r="4">
      <c r="A4" s="3" t="inlineStr">
        <is>
          <t>Invoice no</t>
        </is>
      </c>
      <c r="B4" s="5" t="inlineStr">
        <is>
          <t>AH-026</t>
        </is>
      </c>
      <c r="C4" s="3" t="inlineStr">
        <is>
          <t>Date</t>
        </is>
      </c>
      <c r="D4" s="16">
        <f>_xlfn.XLOOKUP($B$4,Invoices!$B$5:$B$3000,Invoices!$A$5:$A$3000)</f>
        <v/>
      </c>
    </row>
    <row r="5">
      <c r="C5" s="3" t="inlineStr">
        <is>
          <t>Customer</t>
        </is>
      </c>
      <c r="D5" s="9">
        <f>_xlfn.XLOOKUP(_xlfn.XLOOKUP($B$4,Invoices!$B$5:$B$3000,Invoices!$C$5:$C$3000),Customers!$A$5:$A$100,Customers!$B$5:$B$100)</f>
        <v/>
      </c>
    </row>
    <row r="7">
      <c r="A7" s="6" t="inlineStr">
        <is>
          <t>No</t>
        </is>
      </c>
      <c r="B7" s="6" t="inlineStr">
        <is>
          <t>Item</t>
        </is>
      </c>
      <c r="C7" s="6" t="inlineStr">
        <is>
          <t>Qty</t>
        </is>
      </c>
      <c r="D7" s="6" t="inlineStr">
        <is>
          <t>Price (₹)</t>
        </is>
      </c>
      <c r="E7" s="6" t="inlineStr">
        <is>
          <t>Taxable (₹)</t>
        </is>
      </c>
      <c r="F7" s="6" t="inlineStr">
        <is>
          <t>GST (₹)</t>
        </is>
      </c>
    </row>
    <row r="8">
      <c r="A8" s="17" t="n">
        <v>1</v>
      </c>
      <c r="B8" s="9">
        <f>_xlfn.XLOOKUP($B$4&amp;"-"&amp;A8,Invoices!$L$5:$L$3000,Invoices!$E$5:$E$3000,"")</f>
        <v/>
      </c>
      <c r="C8" s="9">
        <f>_xlfn.XLOOKUP($B$4&amp;"-"&amp;A8,Invoices!$L$5:$L$3000,Invoices!$F$5:$F$3000,"")</f>
        <v/>
      </c>
      <c r="D8" s="10">
        <f>_xlfn.XLOOKUP($B$4&amp;"-"&amp;A8,Invoices!$L$5:$L$3000,Invoices!$G$5:$G$3000,"")</f>
        <v/>
      </c>
      <c r="E8" s="10">
        <f>_xlfn.XLOOKUP($B$4&amp;"-"&amp;A8,Invoices!$L$5:$L$3000,Invoices!$H$5:$H$3000,"")</f>
        <v/>
      </c>
      <c r="F8" s="11">
        <f>_xlfn.XLOOKUP($B$4&amp;"-"&amp;A8,Invoices!$L$5:$L$3000,Invoices!$I$5:$I$3000,"")</f>
        <v/>
      </c>
    </row>
    <row r="9">
      <c r="A9" s="17" t="n">
        <v>2</v>
      </c>
      <c r="B9" s="9">
        <f>_xlfn.XLOOKUP($B$4&amp;"-"&amp;A9,Invoices!$L$5:$L$3000,Invoices!$E$5:$E$3000,"")</f>
        <v/>
      </c>
      <c r="C9" s="9">
        <f>_xlfn.XLOOKUP($B$4&amp;"-"&amp;A9,Invoices!$L$5:$L$3000,Invoices!$F$5:$F$3000,"")</f>
        <v/>
      </c>
      <c r="D9" s="10">
        <f>_xlfn.XLOOKUP($B$4&amp;"-"&amp;A9,Invoices!$L$5:$L$3000,Invoices!$G$5:$G$3000,"")</f>
        <v/>
      </c>
      <c r="E9" s="10">
        <f>_xlfn.XLOOKUP($B$4&amp;"-"&amp;A9,Invoices!$L$5:$L$3000,Invoices!$H$5:$H$3000,"")</f>
        <v/>
      </c>
      <c r="F9" s="11">
        <f>_xlfn.XLOOKUP($B$4&amp;"-"&amp;A9,Invoices!$L$5:$L$3000,Invoices!$I$5:$I$3000,"")</f>
        <v/>
      </c>
    </row>
    <row r="10">
      <c r="A10" s="17" t="n">
        <v>3</v>
      </c>
      <c r="B10" s="9">
        <f>_xlfn.XLOOKUP($B$4&amp;"-"&amp;A10,Invoices!$L$5:$L$3000,Invoices!$E$5:$E$3000,"")</f>
        <v/>
      </c>
      <c r="C10" s="9">
        <f>_xlfn.XLOOKUP($B$4&amp;"-"&amp;A10,Invoices!$L$5:$L$3000,Invoices!$F$5:$F$3000,"")</f>
        <v/>
      </c>
      <c r="D10" s="10">
        <f>_xlfn.XLOOKUP($B$4&amp;"-"&amp;A10,Invoices!$L$5:$L$3000,Invoices!$G$5:$G$3000,"")</f>
        <v/>
      </c>
      <c r="E10" s="10">
        <f>_xlfn.XLOOKUP($B$4&amp;"-"&amp;A10,Invoices!$L$5:$L$3000,Invoices!$H$5:$H$3000,"")</f>
        <v/>
      </c>
      <c r="F10" s="11">
        <f>_xlfn.XLOOKUP($B$4&amp;"-"&amp;A10,Invoices!$L$5:$L$3000,Invoices!$I$5:$I$3000,"")</f>
        <v/>
      </c>
    </row>
    <row r="11">
      <c r="A11" s="17" t="n">
        <v>4</v>
      </c>
      <c r="B11" s="9">
        <f>_xlfn.XLOOKUP($B$4&amp;"-"&amp;A11,Invoices!$L$5:$L$3000,Invoices!$E$5:$E$3000,"")</f>
        <v/>
      </c>
      <c r="C11" s="9">
        <f>_xlfn.XLOOKUP($B$4&amp;"-"&amp;A11,Invoices!$L$5:$L$3000,Invoices!$F$5:$F$3000,"")</f>
        <v/>
      </c>
      <c r="D11" s="10">
        <f>_xlfn.XLOOKUP($B$4&amp;"-"&amp;A11,Invoices!$L$5:$L$3000,Invoices!$G$5:$G$3000,"")</f>
        <v/>
      </c>
      <c r="E11" s="10">
        <f>_xlfn.XLOOKUP($B$4&amp;"-"&amp;A11,Invoices!$L$5:$L$3000,Invoices!$H$5:$H$3000,"")</f>
        <v/>
      </c>
      <c r="F11" s="11">
        <f>_xlfn.XLOOKUP($B$4&amp;"-"&amp;A11,Invoices!$L$5:$L$3000,Invoices!$I$5:$I$3000,"")</f>
        <v/>
      </c>
    </row>
    <row r="13">
      <c r="D13" s="3" t="inlineStr">
        <is>
          <t>Taxable</t>
        </is>
      </c>
      <c r="E13" s="10">
        <f>SUM(E8:E11)</f>
        <v/>
      </c>
    </row>
    <row r="14">
      <c r="D14" s="3" t="inlineStr">
        <is>
          <t>CGST</t>
        </is>
      </c>
      <c r="E14" s="11">
        <f>ROUND(SUM(F8:F11)/2,2)</f>
        <v/>
      </c>
    </row>
    <row r="15">
      <c r="D15" s="3" t="inlineStr">
        <is>
          <t>SGST</t>
        </is>
      </c>
      <c r="E15" s="11">
        <f>SUM(F8:F11)-E14</f>
        <v/>
      </c>
    </row>
    <row r="16">
      <c r="D16" s="13" t="inlineStr">
        <is>
          <t>Total</t>
        </is>
      </c>
      <c r="E16" s="18">
        <f>E13+E14+E15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Hardware dashboard: August to October 2026</t>
        </is>
      </c>
    </row>
    <row r="2">
      <c r="A2" s="2" t="inlineStr">
        <is>
          <t>Formulas over Ledger, Stock and Invoices.</t>
        </is>
      </c>
    </row>
    <row r="4" ht="32" customHeight="1">
      <c r="A4" s="6" t="inlineStr">
        <is>
          <t>Sales before GST (Aug-Oct)</t>
        </is>
      </c>
      <c r="B4" s="6" t="inlineStr">
        <is>
          <t>October sales</t>
        </is>
      </c>
      <c r="C4" s="6" t="inlineStr">
        <is>
          <t>Gross margin %</t>
        </is>
      </c>
      <c r="D4" s="6" t="inlineStr">
        <is>
          <t>Outstanding</t>
        </is>
      </c>
      <c r="E4" s="6" t="inlineStr">
        <is>
          <t>Over 60 days</t>
        </is>
      </c>
      <c r="F4" s="6" t="inlineStr">
        <is>
          <t>Customers flagged</t>
        </is>
      </c>
    </row>
    <row r="5" ht="30" customHeight="1">
      <c r="A5" s="19">
        <f>SUM(Invoices!$H$5:$H$3000)</f>
        <v/>
      </c>
      <c r="B5" s="19">
        <f>SUMIFS(Invoices!$H$5:$H$3000,Invoices!$A$5:$A$3000,"&gt;="&amp;DATE(2026,10,1))</f>
        <v/>
      </c>
      <c r="C5" s="20">
        <f>SUM(Stock!H5:H10)/SUM(Stock!G5:G10)</f>
        <v/>
      </c>
      <c r="D5" s="19">
        <f>Ledger!E9</f>
        <v/>
      </c>
      <c r="E5" s="19">
        <f>Ledger!H9</f>
        <v/>
      </c>
      <c r="F5" s="21">
        <f>COUNTIF(Ledger!J5:J8,"&lt;&gt;OK")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2026-10-17T06:42:54Z</dcterms:created>
  <dcterms:modified xmlns:dcterms="http://purl.org/dc/terms/" xmlns:xsi="http://www.w3.org/2001/XMLSchema-instance" xsi:type="dcterms:W3CDTF">2026-10-17T06:42:54Z</dcterms:modified>
</cp:coreProperties>
</file>