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mbers" sheetId="3" state="visible" r:id="rId3"/>
    <sheet xmlns:r="http://schemas.openxmlformats.org/officeDocument/2006/relationships" name="Check-ins" sheetId="4" state="visible" r:id="rId4"/>
    <sheet xmlns:r="http://schemas.openxmlformats.org/officeDocument/2006/relationships" name="Receipt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>
    <definedName name="_xlnm.Print_Area" localSheetId="4">'Receipt'!$A$1:$D$16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[$₹-4009]#,##,##0.00"/>
    <numFmt numFmtId="168" formatCode="HH:MM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167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  <xf numFmtId="168" fontId="0" fillId="2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Members by plan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'Report'!$B$5:$B$8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Check-ins, last 7 days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'Report'!$A$16:$A$22</f>
            </numRef>
          </cat>
          <val>
            <numRef>
              <f>'Report'!$B$16:$B$22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Gym membership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(plans, trainers, reminder window), Members, Check-ins, Receipt (printable), Report, Dashboard.</t>
        </is>
      </c>
    </row>
    <row r="8">
      <c r="A8" t="inlineStr">
        <is>
          <t>New member or renewal: add a row in Members with the plan and start date. A renewal is a new row with a new start date; keep the old row for history.</t>
        </is>
      </c>
    </row>
    <row r="9">
      <c r="A9" t="inlineStr">
        <is>
          <t>Each morning filter Members on Status = Expiring and call them. Expired members are your win-back list.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0" customWidth="1" min="3" max="3"/>
    <col width="14" customWidth="1" min="4" max="4"/>
    <col width="10" customWidth="1" min="6" max="6"/>
    <col width="13" customWidth="1" min="7" max="7"/>
  </cols>
  <sheetData>
    <row r="1">
      <c r="A1" s="1" t="inlineStr">
        <is>
          <t>Gym Management System: Setup (Raja Fitness, Pune)</t>
        </is>
      </c>
    </row>
    <row r="2">
      <c r="A2" s="2" t="inlineStr">
        <is>
          <t>Made-up plans, fees and members. Fees are shown as charged; check GST treatment with your accountant.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to make it live.</t>
        </is>
      </c>
    </row>
    <row r="4">
      <c r="A4" s="3" t="inlineStr">
        <is>
          <t>Gym</t>
        </is>
      </c>
      <c r="B4" s="5" t="inlineStr">
        <is>
          <t>Raja Fitness, Pune</t>
        </is>
      </c>
    </row>
    <row r="5">
      <c r="A5" s="3" t="inlineStr">
        <is>
          <t>Renewal reminder window (days)</t>
        </is>
      </c>
      <c r="B5" s="5" t="n">
        <v>7</v>
      </c>
    </row>
    <row r="7">
      <c r="A7" s="6" t="inlineStr">
        <is>
          <t>Plan</t>
        </is>
      </c>
      <c r="B7" s="6" t="inlineStr">
        <is>
          <t>Days</t>
        </is>
      </c>
      <c r="C7" s="6" t="inlineStr">
        <is>
          <t>Fee (₹)</t>
        </is>
      </c>
      <c r="D7" s="6" t="inlineStr">
        <is>
          <t>Fee per day (₹)</t>
        </is>
      </c>
      <c r="F7" s="7" t="inlineStr">
        <is>
          <t>Trainers</t>
        </is>
      </c>
      <c r="G7" s="7" t="inlineStr">
        <is>
          <t>Payment modes</t>
        </is>
      </c>
    </row>
    <row r="8">
      <c r="A8" s="5" t="inlineStr">
        <is>
          <t>Monthly</t>
        </is>
      </c>
      <c r="B8" s="5" t="n">
        <v>30</v>
      </c>
      <c r="C8" s="8" t="n">
        <v>1500</v>
      </c>
      <c r="D8" s="9">
        <f>C8/B8</f>
        <v/>
      </c>
      <c r="F8" s="5" t="inlineStr">
        <is>
          <t>Salman</t>
        </is>
      </c>
      <c r="G8" s="5" t="inlineStr">
        <is>
          <t>Cash</t>
        </is>
      </c>
    </row>
    <row r="9">
      <c r="A9" s="5" t="inlineStr">
        <is>
          <t>Quarterly</t>
        </is>
      </c>
      <c r="B9" s="5" t="n">
        <v>90</v>
      </c>
      <c r="C9" s="8" t="n">
        <v>4000</v>
      </c>
      <c r="D9" s="9">
        <f>C9/B9</f>
        <v/>
      </c>
      <c r="F9" s="5" t="inlineStr">
        <is>
          <t>Zoya</t>
        </is>
      </c>
      <c r="G9" s="5" t="inlineStr">
        <is>
          <t>UPI</t>
        </is>
      </c>
    </row>
    <row r="10">
      <c r="A10" s="5" t="inlineStr">
        <is>
          <t>Half-yearly</t>
        </is>
      </c>
      <c r="B10" s="5" t="n">
        <v>180</v>
      </c>
      <c r="C10" s="8" t="n">
        <v>7000</v>
      </c>
      <c r="D10" s="9">
        <f>C10/B10</f>
        <v/>
      </c>
      <c r="F10" s="5" t="inlineStr">
        <is>
          <t>Amir</t>
        </is>
      </c>
      <c r="G10" s="5" t="inlineStr">
        <is>
          <t>Card</t>
        </is>
      </c>
    </row>
    <row r="11">
      <c r="A11" s="5" t="inlineStr">
        <is>
          <t>Yearly</t>
        </is>
      </c>
      <c r="B11" s="5" t="n">
        <v>365</v>
      </c>
      <c r="C11" s="8" t="n">
        <v>12000</v>
      </c>
      <c r="D11" s="9">
        <f>C11/B11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1" customWidth="1" min="3" max="3"/>
    <col width="9" customWidth="1" min="4" max="4"/>
    <col width="11" customWidth="1" min="5" max="5"/>
    <col width="11" customWidth="1" min="6" max="6"/>
    <col width="9" customWidth="1" min="7" max="7"/>
    <col width="11" customWidth="1" min="8" max="8"/>
    <col width="9" customWidth="1" min="9" max="9"/>
    <col width="11" customWidth="1" min="10" max="10"/>
    <col width="9" customWidth="1" min="11" max="11"/>
    <col width="10" customWidth="1" min="12" max="12"/>
    <col width="12" customWidth="1" min="13" max="13"/>
  </cols>
  <sheetData>
    <row r="1">
      <c r="A1" s="1" t="inlineStr">
        <is>
          <t>Members (one row per membership)</t>
        </is>
      </c>
    </row>
    <row r="2">
      <c r="A2" s="2" t="inlineStr">
        <is>
          <t>End date = start + plan days − 1. Status turns Expiring inside the reminder window and Expired after the end date.</t>
        </is>
      </c>
    </row>
    <row r="4">
      <c r="A4" s="6" t="inlineStr">
        <is>
          <t>Member ID</t>
        </is>
      </c>
      <c r="B4" s="6" t="inlineStr">
        <is>
          <t>Name</t>
        </is>
      </c>
      <c r="C4" s="6" t="inlineStr">
        <is>
          <t>Plan</t>
        </is>
      </c>
      <c r="D4" s="6" t="inlineStr">
        <is>
          <t>Trainer</t>
        </is>
      </c>
      <c r="E4" s="6" t="inlineStr">
        <is>
          <t>Start</t>
        </is>
      </c>
      <c r="F4" s="6" t="inlineStr">
        <is>
          <t>End</t>
        </is>
      </c>
      <c r="G4" s="6" t="inlineStr">
        <is>
          <t>Fee (₹)</t>
        </is>
      </c>
      <c r="H4" s="6" t="inlineStr">
        <is>
          <t>Discount (₹)</t>
        </is>
      </c>
      <c r="I4" s="6" t="inlineStr">
        <is>
          <t>Paid (₹)</t>
        </is>
      </c>
      <c r="J4" s="6" t="inlineStr">
        <is>
          <t>Balance (₹)</t>
        </is>
      </c>
      <c r="K4" s="6" t="inlineStr">
        <is>
          <t>Days left</t>
        </is>
      </c>
      <c r="L4" s="6" t="inlineStr">
        <is>
          <t>Status</t>
        </is>
      </c>
      <c r="M4" s="6" t="inlineStr">
        <is>
          <t>Visits (last 30 days)</t>
        </is>
      </c>
    </row>
    <row r="5">
      <c r="A5" s="5" t="inlineStr">
        <is>
          <t>G01</t>
        </is>
      </c>
      <c r="B5" s="5" t="inlineStr">
        <is>
          <t>Ravindra Bagale</t>
        </is>
      </c>
      <c r="C5" s="5" t="inlineStr">
        <is>
          <t>Yearly</t>
        </is>
      </c>
      <c r="D5" s="5" t="inlineStr">
        <is>
          <t>Salman</t>
        </is>
      </c>
      <c r="E5" s="4" t="n">
        <v>46032</v>
      </c>
      <c r="F5" s="10">
        <f>E5+_xlfn.XLOOKUP(C5,Setup!$A$8:$A$11,Setup!$B$8:$B$11)-1</f>
        <v/>
      </c>
      <c r="G5" s="11">
        <f>_xlfn.XLOOKUP(C5,Setup!$A$8:$A$11,Setup!$C$8:$C$11,0)</f>
        <v/>
      </c>
      <c r="H5" s="8" t="n">
        <v>1000</v>
      </c>
      <c r="I5" s="8" t="n">
        <v>11000</v>
      </c>
      <c r="J5" s="11">
        <f>G5-H5-I5</f>
        <v/>
      </c>
      <c r="K5" s="12">
        <f>F5-Setup!$B$3</f>
        <v/>
      </c>
      <c r="L5" s="12">
        <f>IF(F5&lt;Setup!$B$3,"Expired",IF(F5-Setup!$B$3&lt;=Setup!$B$5,"Expiring","Active"))</f>
        <v/>
      </c>
      <c r="M5" s="12">
        <f>COUNTIFS('Check-ins'!$B$5:$B$600,A5,'Check-ins'!$A$5:$A$600,"&gt;"&amp;(Setup!$B$3-30))</f>
        <v/>
      </c>
    </row>
    <row r="6">
      <c r="A6" s="5" t="inlineStr">
        <is>
          <t>G02</t>
        </is>
      </c>
      <c r="B6" s="5" t="inlineStr">
        <is>
          <t>Shraddha Bagale</t>
        </is>
      </c>
      <c r="C6" s="5" t="inlineStr">
        <is>
          <t>Quarterly</t>
        </is>
      </c>
      <c r="D6" s="5" t="inlineStr">
        <is>
          <t>Zoya</t>
        </is>
      </c>
      <c r="E6" s="4" t="n">
        <v>46235</v>
      </c>
      <c r="F6" s="10">
        <f>E6+_xlfn.XLOOKUP(C6,Setup!$A$8:$A$11,Setup!$B$8:$B$11)-1</f>
        <v/>
      </c>
      <c r="G6" s="11">
        <f>_xlfn.XLOOKUP(C6,Setup!$A$8:$A$11,Setup!$C$8:$C$11,0)</f>
        <v/>
      </c>
      <c r="H6" s="8" t="n">
        <v>0</v>
      </c>
      <c r="I6" s="8" t="n">
        <v>4000</v>
      </c>
      <c r="J6" s="11">
        <f>G6-H6-I6</f>
        <v/>
      </c>
      <c r="K6" s="12">
        <f>F6-Setup!$B$3</f>
        <v/>
      </c>
      <c r="L6" s="12">
        <f>IF(F6&lt;Setup!$B$3,"Expired",IF(F6-Setup!$B$3&lt;=Setup!$B$5,"Expiring","Active"))</f>
        <v/>
      </c>
      <c r="M6" s="12">
        <f>COUNTIFS('Check-ins'!$B$5:$B$600,A6,'Check-ins'!$A$5:$A$600,"&gt;"&amp;(Setup!$B$3-30))</f>
        <v/>
      </c>
    </row>
    <row r="7">
      <c r="A7" s="5" t="inlineStr">
        <is>
          <t>G03</t>
        </is>
      </c>
      <c r="B7" s="5" t="inlineStr">
        <is>
          <t>Shahrukh</t>
        </is>
      </c>
      <c r="C7" s="5" t="inlineStr">
        <is>
          <t>Monthly</t>
        </is>
      </c>
      <c r="D7" s="5" t="inlineStr">
        <is>
          <t>Amir</t>
        </is>
      </c>
      <c r="E7" s="4" t="n">
        <v>46290</v>
      </c>
      <c r="F7" s="10">
        <f>E7+_xlfn.XLOOKUP(C7,Setup!$A$8:$A$11,Setup!$B$8:$B$11)-1</f>
        <v/>
      </c>
      <c r="G7" s="11">
        <f>_xlfn.XLOOKUP(C7,Setup!$A$8:$A$11,Setup!$C$8:$C$11,0)</f>
        <v/>
      </c>
      <c r="H7" s="8" t="n">
        <v>0</v>
      </c>
      <c r="I7" s="8" t="n">
        <v>1500</v>
      </c>
      <c r="J7" s="11">
        <f>G7-H7-I7</f>
        <v/>
      </c>
      <c r="K7" s="12">
        <f>F7-Setup!$B$3</f>
        <v/>
      </c>
      <c r="L7" s="12">
        <f>IF(F7&lt;Setup!$B$3,"Expired",IF(F7-Setup!$B$3&lt;=Setup!$B$5,"Expiring","Active"))</f>
        <v/>
      </c>
      <c r="M7" s="12">
        <f>COUNTIFS('Check-ins'!$B$5:$B$600,A7,'Check-ins'!$A$5:$A$600,"&gt;"&amp;(Setup!$B$3-30))</f>
        <v/>
      </c>
    </row>
    <row r="8">
      <c r="A8" s="5" t="inlineStr">
        <is>
          <t>G04</t>
        </is>
      </c>
      <c r="B8" s="5" t="inlineStr">
        <is>
          <t>Amir Shaikh</t>
        </is>
      </c>
      <c r="C8" s="5" t="inlineStr">
        <is>
          <t>Monthly</t>
        </is>
      </c>
      <c r="D8" s="5" t="inlineStr">
        <is>
          <t>Amir</t>
        </is>
      </c>
      <c r="E8" s="4" t="n">
        <v>46266</v>
      </c>
      <c r="F8" s="10">
        <f>E8+_xlfn.XLOOKUP(C8,Setup!$A$8:$A$11,Setup!$B$8:$B$11)-1</f>
        <v/>
      </c>
      <c r="G8" s="11">
        <f>_xlfn.XLOOKUP(C8,Setup!$A$8:$A$11,Setup!$C$8:$C$11,0)</f>
        <v/>
      </c>
      <c r="H8" s="8" t="n">
        <v>0</v>
      </c>
      <c r="I8" s="8" t="n">
        <v>1500</v>
      </c>
      <c r="J8" s="11">
        <f>G8-H8-I8</f>
        <v/>
      </c>
      <c r="K8" s="12">
        <f>F8-Setup!$B$3</f>
        <v/>
      </c>
      <c r="L8" s="12">
        <f>IF(F8&lt;Setup!$B$3,"Expired",IF(F8-Setup!$B$3&lt;=Setup!$B$5,"Expiring","Active"))</f>
        <v/>
      </c>
      <c r="M8" s="12">
        <f>COUNTIFS('Check-ins'!$B$5:$B$600,A8,'Check-ins'!$A$5:$A$600,"&gt;"&amp;(Setup!$B$3-30))</f>
        <v/>
      </c>
    </row>
    <row r="9">
      <c r="A9" s="5" t="inlineStr">
        <is>
          <t>G05</t>
        </is>
      </c>
      <c r="B9" s="5" t="inlineStr">
        <is>
          <t>Ravina</t>
        </is>
      </c>
      <c r="C9" s="5" t="inlineStr">
        <is>
          <t>Half-yearly</t>
        </is>
      </c>
      <c r="D9" s="5" t="inlineStr">
        <is>
          <t>Zoya</t>
        </is>
      </c>
      <c r="E9" s="4" t="n">
        <v>46157</v>
      </c>
      <c r="F9" s="10">
        <f>E9+_xlfn.XLOOKUP(C9,Setup!$A$8:$A$11,Setup!$B$8:$B$11)-1</f>
        <v/>
      </c>
      <c r="G9" s="11">
        <f>_xlfn.XLOOKUP(C9,Setup!$A$8:$A$11,Setup!$C$8:$C$11,0)</f>
        <v/>
      </c>
      <c r="H9" s="8" t="n">
        <v>500</v>
      </c>
      <c r="I9" s="8" t="n">
        <v>6500</v>
      </c>
      <c r="J9" s="11">
        <f>G9-H9-I9</f>
        <v/>
      </c>
      <c r="K9" s="12">
        <f>F9-Setup!$B$3</f>
        <v/>
      </c>
      <c r="L9" s="12">
        <f>IF(F9&lt;Setup!$B$3,"Expired",IF(F9-Setup!$B$3&lt;=Setup!$B$5,"Expiring","Active"))</f>
        <v/>
      </c>
      <c r="M9" s="12">
        <f>COUNTIFS('Check-ins'!$B$5:$B$600,A9,'Check-ins'!$A$5:$A$600,"&gt;"&amp;(Setup!$B$3-30))</f>
        <v/>
      </c>
    </row>
    <row r="10">
      <c r="A10" s="5" t="inlineStr">
        <is>
          <t>G06</t>
        </is>
      </c>
      <c r="B10" s="5" t="inlineStr">
        <is>
          <t>Raja</t>
        </is>
      </c>
      <c r="C10" s="5" t="inlineStr">
        <is>
          <t>Quarterly</t>
        </is>
      </c>
      <c r="D10" s="5" t="inlineStr">
        <is>
          <t>Salman</t>
        </is>
      </c>
      <c r="E10" s="4" t="n">
        <v>46223</v>
      </c>
      <c r="F10" s="10">
        <f>E10+_xlfn.XLOOKUP(C10,Setup!$A$8:$A$11,Setup!$B$8:$B$11)-1</f>
        <v/>
      </c>
      <c r="G10" s="11">
        <f>_xlfn.XLOOKUP(C10,Setup!$A$8:$A$11,Setup!$C$8:$C$11,0)</f>
        <v/>
      </c>
      <c r="H10" s="8" t="n">
        <v>0</v>
      </c>
      <c r="I10" s="8" t="n">
        <v>4000</v>
      </c>
      <c r="J10" s="11">
        <f>G10-H10-I10</f>
        <v/>
      </c>
      <c r="K10" s="12">
        <f>F10-Setup!$B$3</f>
        <v/>
      </c>
      <c r="L10" s="12">
        <f>IF(F10&lt;Setup!$B$3,"Expired",IF(F10-Setup!$B$3&lt;=Setup!$B$5,"Expiring","Active"))</f>
        <v/>
      </c>
      <c r="M10" s="12">
        <f>COUNTIFS('Check-ins'!$B$5:$B$600,A10,'Check-ins'!$A$5:$A$600,"&gt;"&amp;(Setup!$B$3-30))</f>
        <v/>
      </c>
    </row>
    <row r="11">
      <c r="A11" s="5" t="inlineStr">
        <is>
          <t>G07</t>
        </is>
      </c>
      <c r="B11" s="5" t="inlineStr">
        <is>
          <t>Rani</t>
        </is>
      </c>
      <c r="C11" s="5" t="inlineStr">
        <is>
          <t>Monthly</t>
        </is>
      </c>
      <c r="D11" s="5" t="inlineStr">
        <is>
          <t>Zoya</t>
        </is>
      </c>
      <c r="E11" s="4" t="n">
        <v>46307</v>
      </c>
      <c r="F11" s="10">
        <f>E11+_xlfn.XLOOKUP(C11,Setup!$A$8:$A$11,Setup!$B$8:$B$11)-1</f>
        <v/>
      </c>
      <c r="G11" s="11">
        <f>_xlfn.XLOOKUP(C11,Setup!$A$8:$A$11,Setup!$C$8:$C$11,0)</f>
        <v/>
      </c>
      <c r="H11" s="8" t="n">
        <v>0</v>
      </c>
      <c r="I11" s="8" t="n">
        <v>1000</v>
      </c>
      <c r="J11" s="11">
        <f>G11-H11-I11</f>
        <v/>
      </c>
      <c r="K11" s="12">
        <f>F11-Setup!$B$3</f>
        <v/>
      </c>
      <c r="L11" s="12">
        <f>IF(F11&lt;Setup!$B$3,"Expired",IF(F11-Setup!$B$3&lt;=Setup!$B$5,"Expiring","Active"))</f>
        <v/>
      </c>
      <c r="M11" s="12">
        <f>COUNTIFS('Check-ins'!$B$5:$B$600,A11,'Check-ins'!$A$5:$A$600,"&gt;"&amp;(Setup!$B$3-30))</f>
        <v/>
      </c>
    </row>
    <row r="12">
      <c r="A12" s="5" t="inlineStr">
        <is>
          <t>G08</t>
        </is>
      </c>
      <c r="B12" s="5" t="inlineStr">
        <is>
          <t>Zoya Khan</t>
        </is>
      </c>
      <c r="C12" s="5" t="inlineStr">
        <is>
          <t>Yearly</t>
        </is>
      </c>
      <c r="D12" s="5" t="inlineStr">
        <is>
          <t>Zoya</t>
        </is>
      </c>
      <c r="E12" s="4" t="n">
        <v>46082</v>
      </c>
      <c r="F12" s="10">
        <f>E12+_xlfn.XLOOKUP(C12,Setup!$A$8:$A$11,Setup!$B$8:$B$11)-1</f>
        <v/>
      </c>
      <c r="G12" s="11">
        <f>_xlfn.XLOOKUP(C12,Setup!$A$8:$A$11,Setup!$C$8:$C$11,0)</f>
        <v/>
      </c>
      <c r="H12" s="8" t="n">
        <v>2000</v>
      </c>
      <c r="I12" s="8" t="n">
        <v>10000</v>
      </c>
      <c r="J12" s="11">
        <f>G12-H12-I12</f>
        <v/>
      </c>
      <c r="K12" s="12">
        <f>F12-Setup!$B$3</f>
        <v/>
      </c>
      <c r="L12" s="12">
        <f>IF(F12&lt;Setup!$B$3,"Expired",IF(F12-Setup!$B$3&lt;=Setup!$B$5,"Expiring","Active"))</f>
        <v/>
      </c>
      <c r="M12" s="12">
        <f>COUNTIFS('Check-ins'!$B$5:$B$600,A12,'Check-ins'!$A$5:$A$600,"&gt;"&amp;(Setup!$B$3-30))</f>
        <v/>
      </c>
    </row>
    <row r="13">
      <c r="A13" s="5" t="inlineStr">
        <is>
          <t>G09</t>
        </is>
      </c>
      <c r="B13" s="5" t="inlineStr">
        <is>
          <t>Salman Patel</t>
        </is>
      </c>
      <c r="C13" s="5" t="inlineStr">
        <is>
          <t>Monthly</t>
        </is>
      </c>
      <c r="D13" s="5" t="inlineStr">
        <is>
          <t>Salman</t>
        </is>
      </c>
      <c r="E13" s="4" t="n">
        <v>46285</v>
      </c>
      <c r="F13" s="10">
        <f>E13+_xlfn.XLOOKUP(C13,Setup!$A$8:$A$11,Setup!$B$8:$B$11)-1</f>
        <v/>
      </c>
      <c r="G13" s="11">
        <f>_xlfn.XLOOKUP(C13,Setup!$A$8:$A$11,Setup!$C$8:$C$11,0)</f>
        <v/>
      </c>
      <c r="H13" s="8" t="n">
        <v>0</v>
      </c>
      <c r="I13" s="8" t="n">
        <v>1500</v>
      </c>
      <c r="J13" s="11">
        <f>G13-H13-I13</f>
        <v/>
      </c>
      <c r="K13" s="12">
        <f>F13-Setup!$B$3</f>
        <v/>
      </c>
      <c r="L13" s="12">
        <f>IF(F13&lt;Setup!$B$3,"Expired",IF(F13-Setup!$B$3&lt;=Setup!$B$5,"Expiring","Active"))</f>
        <v/>
      </c>
      <c r="M13" s="12">
        <f>COUNTIFS('Check-ins'!$B$5:$B$600,A13,'Check-ins'!$A$5:$A$600,"&gt;"&amp;(Setup!$B$3-30))</f>
        <v/>
      </c>
    </row>
    <row r="14">
      <c r="A14" s="5" t="inlineStr">
        <is>
          <t>G10</t>
        </is>
      </c>
      <c r="B14" s="5" t="inlineStr">
        <is>
          <t>Ruhi Bagale</t>
        </is>
      </c>
      <c r="C14" s="5" t="inlineStr">
        <is>
          <t>Quarterly</t>
        </is>
      </c>
      <c r="D14" s="5" t="inlineStr">
        <is>
          <t>Zoya</t>
        </is>
      </c>
      <c r="E14" s="4" t="n">
        <v>46300</v>
      </c>
      <c r="F14" s="10">
        <f>E14+_xlfn.XLOOKUP(C14,Setup!$A$8:$A$11,Setup!$B$8:$B$11)-1</f>
        <v/>
      </c>
      <c r="G14" s="11">
        <f>_xlfn.XLOOKUP(C14,Setup!$A$8:$A$11,Setup!$C$8:$C$11,0)</f>
        <v/>
      </c>
      <c r="H14" s="8" t="n">
        <v>0</v>
      </c>
      <c r="I14" s="8" t="n">
        <v>2000</v>
      </c>
      <c r="J14" s="11">
        <f>G14-H14-I14</f>
        <v/>
      </c>
      <c r="K14" s="12">
        <f>F14-Setup!$B$3</f>
        <v/>
      </c>
      <c r="L14" s="12">
        <f>IF(F14&lt;Setup!$B$3,"Expired",IF(F14-Setup!$B$3&lt;=Setup!$B$5,"Expiring","Active"))</f>
        <v/>
      </c>
      <c r="M14" s="12">
        <f>COUNTIFS('Check-ins'!$B$5:$B$600,A14,'Check-ins'!$A$5:$A$600,"&gt;"&amp;(Setup!$B$3-30))</f>
        <v/>
      </c>
    </row>
    <row r="15">
      <c r="A15" s="5" t="inlineStr">
        <is>
          <t>G11</t>
        </is>
      </c>
      <c r="B15" s="5" t="inlineStr">
        <is>
          <t>Raja Patil</t>
        </is>
      </c>
      <c r="C15" s="5" t="inlineStr">
        <is>
          <t>Half-yearly</t>
        </is>
      </c>
      <c r="D15" s="5" t="inlineStr">
        <is>
          <t>Amir</t>
        </is>
      </c>
      <c r="E15" s="4" t="n">
        <v>46113</v>
      </c>
      <c r="F15" s="10">
        <f>E15+_xlfn.XLOOKUP(C15,Setup!$A$8:$A$11,Setup!$B$8:$B$11)-1</f>
        <v/>
      </c>
      <c r="G15" s="11">
        <f>_xlfn.XLOOKUP(C15,Setup!$A$8:$A$11,Setup!$C$8:$C$11,0)</f>
        <v/>
      </c>
      <c r="H15" s="8" t="n">
        <v>0</v>
      </c>
      <c r="I15" s="8" t="n">
        <v>7000</v>
      </c>
      <c r="J15" s="11">
        <f>G15-H15-I15</f>
        <v/>
      </c>
      <c r="K15" s="12">
        <f>F15-Setup!$B$3</f>
        <v/>
      </c>
      <c r="L15" s="12">
        <f>IF(F15&lt;Setup!$B$3,"Expired",IF(F15-Setup!$B$3&lt;=Setup!$B$5,"Expiring","Active"))</f>
        <v/>
      </c>
      <c r="M15" s="12">
        <f>COUNTIFS('Check-ins'!$B$5:$B$600,A15,'Check-ins'!$A$5:$A$600,"&gt;"&amp;(Setup!$B$3-30))</f>
        <v/>
      </c>
    </row>
    <row r="16">
      <c r="A16" s="5" t="inlineStr">
        <is>
          <t>G12</t>
        </is>
      </c>
      <c r="B16" s="5" t="inlineStr">
        <is>
          <t>Rani More</t>
        </is>
      </c>
      <c r="C16" s="5" t="inlineStr">
        <is>
          <t>Monthly</t>
        </is>
      </c>
      <c r="D16" s="5" t="inlineStr">
        <is>
          <t>Salman</t>
        </is>
      </c>
      <c r="E16" s="4" t="n">
        <v>46305</v>
      </c>
      <c r="F16" s="10">
        <f>E16+_xlfn.XLOOKUP(C16,Setup!$A$8:$A$11,Setup!$B$8:$B$11)-1</f>
        <v/>
      </c>
      <c r="G16" s="11">
        <f>_xlfn.XLOOKUP(C16,Setup!$A$8:$A$11,Setup!$C$8:$C$11,0)</f>
        <v/>
      </c>
      <c r="H16" s="8" t="n">
        <v>0</v>
      </c>
      <c r="I16" s="8" t="n">
        <v>1500</v>
      </c>
      <c r="J16" s="11">
        <f>G16-H16-I16</f>
        <v/>
      </c>
      <c r="K16" s="12">
        <f>F16-Setup!$B$3</f>
        <v/>
      </c>
      <c r="L16" s="12">
        <f>IF(F16&lt;Setup!$B$3,"Expired",IF(F16-Setup!$B$3&lt;=Setup!$B$5,"Expiring","Active"))</f>
        <v/>
      </c>
      <c r="M16" s="12">
        <f>COUNTIFS('Check-ins'!$B$5:$B$600,A16,'Check-ins'!$A$5:$A$600,"&gt;"&amp;(Setup!$B$3-30))</f>
        <v/>
      </c>
    </row>
  </sheetData>
  <conditionalFormatting sqref="L5:L100">
    <cfRule type="cellIs" priority="1" operator="equal" dxfId="0">
      <formula>"Expired"</formula>
    </cfRule>
    <cfRule type="cellIs" priority="2" operator="equal" dxfId="1">
      <formula>"Expiring"</formula>
    </cfRule>
  </conditionalFormatting>
  <conditionalFormatting sqref="J5:J100">
    <cfRule type="cellIs" priority="3" operator="greaterThan" dxfId="0">
      <formula>0</formula>
    </cfRule>
  </conditionalFormatting>
  <dataValidations count="2">
    <dataValidation sqref="C5:C100" showDropDown="0" showInputMessage="0" showErrorMessage="1" allowBlank="1" errorTitle="Not in the list" error="Pick a value from the list" type="list">
      <formula1>=Setup!$A$8:$A$11</formula1>
    </dataValidation>
    <dataValidation sqref="D5:D100" showDropDown="0" showInputMessage="0" showErrorMessage="1" allowBlank="1" errorTitle="Not in the list" error="Pick a value from the list" type="list">
      <formula1>=Setup!$F$8:$F$10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6" customWidth="1" min="3" max="3"/>
    <col width="7" customWidth="1" min="4" max="4"/>
    <col width="7" customWidth="1" min="5" max="5"/>
    <col width="9" customWidth="1" min="6" max="6"/>
    <col width="12" customWidth="1" min="7" max="7"/>
  </cols>
  <sheetData>
    <row r="1">
      <c r="A1" s="1" t="inlineStr">
        <is>
          <t>Check-ins (one row per visit)</t>
        </is>
      </c>
    </row>
    <row r="2">
      <c r="A2" s="2" t="inlineStr">
        <is>
          <t>Type the member ID; the name and plan status are looked up. Minutes = (out − in) × 1440.</t>
        </is>
      </c>
    </row>
    <row r="4">
      <c r="A4" s="6" t="inlineStr">
        <is>
          <t>Date</t>
        </is>
      </c>
      <c r="B4" s="6" t="inlineStr">
        <is>
          <t>Member ID</t>
        </is>
      </c>
      <c r="C4" s="6" t="inlineStr">
        <is>
          <t>Name</t>
        </is>
      </c>
      <c r="D4" s="6" t="inlineStr">
        <is>
          <t>In</t>
        </is>
      </c>
      <c r="E4" s="6" t="inlineStr">
        <is>
          <t>Out</t>
        </is>
      </c>
      <c r="F4" s="6" t="inlineStr">
        <is>
          <t>Minutes</t>
        </is>
      </c>
      <c r="G4" s="6" t="inlineStr">
        <is>
          <t>Valid on that day?</t>
        </is>
      </c>
    </row>
    <row r="5">
      <c r="A5" s="4" t="n">
        <v>46284</v>
      </c>
      <c r="B5" s="5" t="inlineStr">
        <is>
          <t>G01</t>
        </is>
      </c>
      <c r="C5" s="12">
        <f>_xlfn.XLOOKUP(B5,Members!$A$5:$A$16,Members!$B$5:$B$16,"Check ID")</f>
        <v/>
      </c>
      <c r="D5" s="13" t="n">
        <v>0.4479166666666667</v>
      </c>
      <c r="E5" s="13" t="n">
        <v>0.4895833333333333</v>
      </c>
      <c r="F5" s="12">
        <f>ROUND((E5-D5)*1440,0)</f>
        <v/>
      </c>
      <c r="G5" s="12">
        <f>IF(AND(A5&gt;=_xlfn.XLOOKUP(B5,Members!$A$5:$A$16,Members!$E$5:$E$16),A5&lt;=_xlfn.XLOOKUP(B5,Members!$A$5:$A$16,Members!$F$5:$F$16)),"Yes","No")</f>
        <v/>
      </c>
    </row>
    <row r="6">
      <c r="A6" s="4" t="n">
        <v>46284</v>
      </c>
      <c r="B6" s="5" t="inlineStr">
        <is>
          <t>G11</t>
        </is>
      </c>
      <c r="C6" s="12">
        <f>_xlfn.XLOOKUP(B6,Members!$A$5:$A$16,Members!$B$5:$B$16,"Check ID")</f>
        <v/>
      </c>
      <c r="D6" s="13" t="n">
        <v>0.65625</v>
      </c>
      <c r="E6" s="13" t="n">
        <v>0.7083333333333334</v>
      </c>
      <c r="F6" s="12">
        <f>ROUND((E6-D6)*1440,0)</f>
        <v/>
      </c>
      <c r="G6" s="12">
        <f>IF(AND(A6&gt;=_xlfn.XLOOKUP(B6,Members!$A$5:$A$16,Members!$E$5:$E$16),A6&lt;=_xlfn.XLOOKUP(B6,Members!$A$5:$A$16,Members!$F$5:$F$16)),"Yes","No")</f>
        <v/>
      </c>
    </row>
    <row r="7">
      <c r="A7" s="4" t="n">
        <v>46285</v>
      </c>
      <c r="B7" s="5" t="inlineStr">
        <is>
          <t>G01</t>
        </is>
      </c>
      <c r="C7" s="12">
        <f>_xlfn.XLOOKUP(B7,Members!$A$5:$A$16,Members!$B$5:$B$16,"Check ID")</f>
        <v/>
      </c>
      <c r="D7" s="13" t="n">
        <v>0.65625</v>
      </c>
      <c r="E7" s="13" t="n">
        <v>0.6875</v>
      </c>
      <c r="F7" s="12">
        <f>ROUND((E7-D7)*1440,0)</f>
        <v/>
      </c>
      <c r="G7" s="12">
        <f>IF(AND(A7&gt;=_xlfn.XLOOKUP(B7,Members!$A$5:$A$16,Members!$E$5:$E$16),A7&lt;=_xlfn.XLOOKUP(B7,Members!$A$5:$A$16,Members!$F$5:$F$16)),"Yes","No")</f>
        <v/>
      </c>
    </row>
    <row r="8">
      <c r="A8" s="4" t="n">
        <v>46285</v>
      </c>
      <c r="B8" s="5" t="inlineStr">
        <is>
          <t>G06</t>
        </is>
      </c>
      <c r="C8" s="12">
        <f>_xlfn.XLOOKUP(B8,Members!$A$5:$A$16,Members!$B$5:$B$16,"Check ID")</f>
        <v/>
      </c>
      <c r="D8" s="13" t="n">
        <v>0.71875</v>
      </c>
      <c r="E8" s="13" t="n">
        <v>0.75</v>
      </c>
      <c r="F8" s="12">
        <f>ROUND((E8-D8)*1440,0)</f>
        <v/>
      </c>
      <c r="G8" s="12">
        <f>IF(AND(A8&gt;=_xlfn.XLOOKUP(B8,Members!$A$5:$A$16,Members!$E$5:$E$16),A8&lt;=_xlfn.XLOOKUP(B8,Members!$A$5:$A$16,Members!$F$5:$F$16)),"Yes","No")</f>
        <v/>
      </c>
    </row>
    <row r="9">
      <c r="A9" s="4" t="n">
        <v>46285</v>
      </c>
      <c r="B9" s="5" t="inlineStr">
        <is>
          <t>G09</t>
        </is>
      </c>
      <c r="C9" s="12">
        <f>_xlfn.XLOOKUP(B9,Members!$A$5:$A$16,Members!$B$5:$B$16,"Check ID")</f>
        <v/>
      </c>
      <c r="D9" s="13" t="n">
        <v>0.4375</v>
      </c>
      <c r="E9" s="13" t="n">
        <v>0.4895833333333333</v>
      </c>
      <c r="F9" s="12">
        <f>ROUND((E9-D9)*1440,0)</f>
        <v/>
      </c>
      <c r="G9" s="12">
        <f>IF(AND(A9&gt;=_xlfn.XLOOKUP(B9,Members!$A$5:$A$16,Members!$E$5:$E$16),A9&lt;=_xlfn.XLOOKUP(B9,Members!$A$5:$A$16,Members!$F$5:$F$16)),"Yes","No")</f>
        <v/>
      </c>
    </row>
    <row r="10">
      <c r="A10" s="4" t="n">
        <v>46286</v>
      </c>
      <c r="B10" s="5" t="inlineStr">
        <is>
          <t>G05</t>
        </is>
      </c>
      <c r="C10" s="12">
        <f>_xlfn.XLOOKUP(B10,Members!$A$5:$A$16,Members!$B$5:$B$16,"Check ID")</f>
        <v/>
      </c>
      <c r="D10" s="13" t="n">
        <v>0.6979166666666666</v>
      </c>
      <c r="E10" s="13" t="n">
        <v>0.75</v>
      </c>
      <c r="F10" s="12">
        <f>ROUND((E10-D10)*1440,0)</f>
        <v/>
      </c>
      <c r="G10" s="12">
        <f>IF(AND(A10&gt;=_xlfn.XLOOKUP(B10,Members!$A$5:$A$16,Members!$E$5:$E$16),A10&lt;=_xlfn.XLOOKUP(B10,Members!$A$5:$A$16,Members!$F$5:$F$16)),"Yes","No")</f>
        <v/>
      </c>
    </row>
    <row r="11">
      <c r="A11" s="4" t="n">
        <v>46286</v>
      </c>
      <c r="B11" s="5" t="inlineStr">
        <is>
          <t>G08</t>
        </is>
      </c>
      <c r="C11" s="12">
        <f>_xlfn.XLOOKUP(B11,Members!$A$5:$A$16,Members!$B$5:$B$16,"Check ID")</f>
        <v/>
      </c>
      <c r="D11" s="13" t="n">
        <v>0.3125</v>
      </c>
      <c r="E11" s="13" t="n">
        <v>0.375</v>
      </c>
      <c r="F11" s="12">
        <f>ROUND((E11-D11)*1440,0)</f>
        <v/>
      </c>
      <c r="G11" s="12">
        <f>IF(AND(A11&gt;=_xlfn.XLOOKUP(B11,Members!$A$5:$A$16,Members!$E$5:$E$16),A11&lt;=_xlfn.XLOOKUP(B11,Members!$A$5:$A$16,Members!$F$5:$F$16)),"Yes","No")</f>
        <v/>
      </c>
    </row>
    <row r="12">
      <c r="A12" s="4" t="n">
        <v>46286</v>
      </c>
      <c r="B12" s="5" t="inlineStr">
        <is>
          <t>G09</t>
        </is>
      </c>
      <c r="C12" s="12">
        <f>_xlfn.XLOOKUP(B12,Members!$A$5:$A$16,Members!$B$5:$B$16,"Check ID")</f>
        <v/>
      </c>
      <c r="D12" s="13" t="n">
        <v>0.4479166666666667</v>
      </c>
      <c r="E12" s="13" t="n">
        <v>0.4791666666666667</v>
      </c>
      <c r="F12" s="12">
        <f>ROUND((E12-D12)*1440,0)</f>
        <v/>
      </c>
      <c r="G12" s="12">
        <f>IF(AND(A12&gt;=_xlfn.XLOOKUP(B12,Members!$A$5:$A$16,Members!$E$5:$E$16),A12&lt;=_xlfn.XLOOKUP(B12,Members!$A$5:$A$16,Members!$F$5:$F$16)),"Yes","No")</f>
        <v/>
      </c>
    </row>
    <row r="13">
      <c r="A13" s="4" t="n">
        <v>46286</v>
      </c>
      <c r="B13" s="5" t="inlineStr">
        <is>
          <t>G11</t>
        </is>
      </c>
      <c r="C13" s="12">
        <f>_xlfn.XLOOKUP(B13,Members!$A$5:$A$16,Members!$B$5:$B$16,"Check ID")</f>
        <v/>
      </c>
      <c r="D13" s="13" t="n">
        <v>0.2916666666666667</v>
      </c>
      <c r="E13" s="13" t="n">
        <v>0.34375</v>
      </c>
      <c r="F13" s="12">
        <f>ROUND((E13-D13)*1440,0)</f>
        <v/>
      </c>
      <c r="G13" s="12">
        <f>IF(AND(A13&gt;=_xlfn.XLOOKUP(B13,Members!$A$5:$A$16,Members!$E$5:$E$16),A13&lt;=_xlfn.XLOOKUP(B13,Members!$A$5:$A$16,Members!$F$5:$F$16)),"Yes","No")</f>
        <v/>
      </c>
    </row>
    <row r="14">
      <c r="A14" s="4" t="n">
        <v>46287</v>
      </c>
      <c r="B14" s="5" t="inlineStr">
        <is>
          <t>G11</t>
        </is>
      </c>
      <c r="C14" s="12">
        <f>_xlfn.XLOOKUP(B14,Members!$A$5:$A$16,Members!$B$5:$B$16,"Check ID")</f>
        <v/>
      </c>
      <c r="D14" s="13" t="n">
        <v>0.5208333333333334</v>
      </c>
      <c r="E14" s="13" t="n">
        <v>0.5833333333333334</v>
      </c>
      <c r="F14" s="12">
        <f>ROUND((E14-D14)*1440,0)</f>
        <v/>
      </c>
      <c r="G14" s="12">
        <f>IF(AND(A14&gt;=_xlfn.XLOOKUP(B14,Members!$A$5:$A$16,Members!$E$5:$E$16),A14&lt;=_xlfn.XLOOKUP(B14,Members!$A$5:$A$16,Members!$F$5:$F$16)),"Yes","No")</f>
        <v/>
      </c>
    </row>
    <row r="15">
      <c r="A15" s="4" t="n">
        <v>46288</v>
      </c>
      <c r="B15" s="5" t="inlineStr">
        <is>
          <t>G01</t>
        </is>
      </c>
      <c r="C15" s="12">
        <f>_xlfn.XLOOKUP(B15,Members!$A$5:$A$16,Members!$B$5:$B$16,"Check ID")</f>
        <v/>
      </c>
      <c r="D15" s="13" t="n">
        <v>0.4270833333333333</v>
      </c>
      <c r="E15" s="13" t="n">
        <v>0.4791666666666667</v>
      </c>
      <c r="F15" s="12">
        <f>ROUND((E15-D15)*1440,0)</f>
        <v/>
      </c>
      <c r="G15" s="12">
        <f>IF(AND(A15&gt;=_xlfn.XLOOKUP(B15,Members!$A$5:$A$16,Members!$E$5:$E$16),A15&lt;=_xlfn.XLOOKUP(B15,Members!$A$5:$A$16,Members!$F$5:$F$16)),"Yes","No")</f>
        <v/>
      </c>
    </row>
    <row r="16">
      <c r="A16" s="4" t="n">
        <v>46288</v>
      </c>
      <c r="B16" s="5" t="inlineStr">
        <is>
          <t>G04</t>
        </is>
      </c>
      <c r="C16" s="12">
        <f>_xlfn.XLOOKUP(B16,Members!$A$5:$A$16,Members!$B$5:$B$16,"Check ID")</f>
        <v/>
      </c>
      <c r="D16" s="13" t="n">
        <v>0.28125</v>
      </c>
      <c r="E16" s="13" t="n">
        <v>0.3125</v>
      </c>
      <c r="F16" s="12">
        <f>ROUND((E16-D16)*1440,0)</f>
        <v/>
      </c>
      <c r="G16" s="12">
        <f>IF(AND(A16&gt;=_xlfn.XLOOKUP(B16,Members!$A$5:$A$16,Members!$E$5:$E$16),A16&lt;=_xlfn.XLOOKUP(B16,Members!$A$5:$A$16,Members!$F$5:$F$16)),"Yes","No")</f>
        <v/>
      </c>
    </row>
    <row r="17">
      <c r="A17" s="4" t="n">
        <v>46288</v>
      </c>
      <c r="B17" s="5" t="inlineStr">
        <is>
          <t>G08</t>
        </is>
      </c>
      <c r="C17" s="12">
        <f>_xlfn.XLOOKUP(B17,Members!$A$5:$A$16,Members!$B$5:$B$16,"Check ID")</f>
        <v/>
      </c>
      <c r="D17" s="13" t="n">
        <v>0.71875</v>
      </c>
      <c r="E17" s="13" t="n">
        <v>0.75</v>
      </c>
      <c r="F17" s="12">
        <f>ROUND((E17-D17)*1440,0)</f>
        <v/>
      </c>
      <c r="G17" s="12">
        <f>IF(AND(A17&gt;=_xlfn.XLOOKUP(B17,Members!$A$5:$A$16,Members!$E$5:$E$16),A17&lt;=_xlfn.XLOOKUP(B17,Members!$A$5:$A$16,Members!$F$5:$F$16)),"Yes","No")</f>
        <v/>
      </c>
    </row>
    <row r="18">
      <c r="A18" s="4" t="n">
        <v>46288</v>
      </c>
      <c r="B18" s="5" t="inlineStr">
        <is>
          <t>G09</t>
        </is>
      </c>
      <c r="C18" s="12">
        <f>_xlfn.XLOOKUP(B18,Members!$A$5:$A$16,Members!$B$5:$B$16,"Check ID")</f>
        <v/>
      </c>
      <c r="D18" s="13" t="n">
        <v>0.78125</v>
      </c>
      <c r="E18" s="13" t="n">
        <v>0.8229166666666666</v>
      </c>
      <c r="F18" s="12">
        <f>ROUND((E18-D18)*1440,0)</f>
        <v/>
      </c>
      <c r="G18" s="12">
        <f>IF(AND(A18&gt;=_xlfn.XLOOKUP(B18,Members!$A$5:$A$16,Members!$E$5:$E$16),A18&lt;=_xlfn.XLOOKUP(B18,Members!$A$5:$A$16,Members!$F$5:$F$16)),"Yes","No")</f>
        <v/>
      </c>
    </row>
    <row r="19">
      <c r="A19" s="4" t="n">
        <v>46288</v>
      </c>
      <c r="B19" s="5" t="inlineStr">
        <is>
          <t>G11</t>
        </is>
      </c>
      <c r="C19" s="12">
        <f>_xlfn.XLOOKUP(B19,Members!$A$5:$A$16,Members!$B$5:$B$16,"Check ID")</f>
        <v/>
      </c>
      <c r="D19" s="13" t="n">
        <v>0.6354166666666666</v>
      </c>
      <c r="E19" s="13" t="n">
        <v>0.6875</v>
      </c>
      <c r="F19" s="12">
        <f>ROUND((E19-D19)*1440,0)</f>
        <v/>
      </c>
      <c r="G19" s="12">
        <f>IF(AND(A19&gt;=_xlfn.XLOOKUP(B19,Members!$A$5:$A$16,Members!$E$5:$E$16),A19&lt;=_xlfn.XLOOKUP(B19,Members!$A$5:$A$16,Members!$F$5:$F$16)),"Yes","No")</f>
        <v/>
      </c>
    </row>
    <row r="20">
      <c r="A20" s="4" t="n">
        <v>46289</v>
      </c>
      <c r="B20" s="5" t="inlineStr">
        <is>
          <t>G05</t>
        </is>
      </c>
      <c r="C20" s="12">
        <f>_xlfn.XLOOKUP(B20,Members!$A$5:$A$16,Members!$B$5:$B$16,"Check ID")</f>
        <v/>
      </c>
      <c r="D20" s="13" t="n">
        <v>0.5</v>
      </c>
      <c r="E20" s="13" t="n">
        <v>0.5520833333333334</v>
      </c>
      <c r="F20" s="12">
        <f>ROUND((E20-D20)*1440,0)</f>
        <v/>
      </c>
      <c r="G20" s="12">
        <f>IF(AND(A20&gt;=_xlfn.XLOOKUP(B20,Members!$A$5:$A$16,Members!$E$5:$E$16),A20&lt;=_xlfn.XLOOKUP(B20,Members!$A$5:$A$16,Members!$F$5:$F$16)),"Yes","No")</f>
        <v/>
      </c>
    </row>
    <row r="21">
      <c r="A21" s="4" t="n">
        <v>46289</v>
      </c>
      <c r="B21" s="5" t="inlineStr">
        <is>
          <t>G08</t>
        </is>
      </c>
      <c r="C21" s="12">
        <f>_xlfn.XLOOKUP(B21,Members!$A$5:$A$16,Members!$B$5:$B$16,"Check ID")</f>
        <v/>
      </c>
      <c r="D21" s="13" t="n">
        <v>0.75</v>
      </c>
      <c r="E21" s="13" t="n">
        <v>0.8020833333333334</v>
      </c>
      <c r="F21" s="12">
        <f>ROUND((E21-D21)*1440,0)</f>
        <v/>
      </c>
      <c r="G21" s="12">
        <f>IF(AND(A21&gt;=_xlfn.XLOOKUP(B21,Members!$A$5:$A$16,Members!$E$5:$E$16),A21&lt;=_xlfn.XLOOKUP(B21,Members!$A$5:$A$16,Members!$F$5:$F$16)),"Yes","No")</f>
        <v/>
      </c>
    </row>
    <row r="22">
      <c r="A22" s="4" t="n">
        <v>46290</v>
      </c>
      <c r="B22" s="5" t="inlineStr">
        <is>
          <t>G02</t>
        </is>
      </c>
      <c r="C22" s="12">
        <f>_xlfn.XLOOKUP(B22,Members!$A$5:$A$16,Members!$B$5:$B$16,"Check ID")</f>
        <v/>
      </c>
      <c r="D22" s="13" t="n">
        <v>0.3541666666666667</v>
      </c>
      <c r="E22" s="13" t="n">
        <v>0.4166666666666667</v>
      </c>
      <c r="F22" s="12">
        <f>ROUND((E22-D22)*1440,0)</f>
        <v/>
      </c>
      <c r="G22" s="12">
        <f>IF(AND(A22&gt;=_xlfn.XLOOKUP(B22,Members!$A$5:$A$16,Members!$E$5:$E$16),A22&lt;=_xlfn.XLOOKUP(B22,Members!$A$5:$A$16,Members!$F$5:$F$16)),"Yes","No")</f>
        <v/>
      </c>
    </row>
    <row r="23">
      <c r="A23" s="4" t="n">
        <v>46290</v>
      </c>
      <c r="B23" s="5" t="inlineStr">
        <is>
          <t>G03</t>
        </is>
      </c>
      <c r="C23" s="12">
        <f>_xlfn.XLOOKUP(B23,Members!$A$5:$A$16,Members!$B$5:$B$16,"Check ID")</f>
        <v/>
      </c>
      <c r="D23" s="13" t="n">
        <v>0.6458333333333334</v>
      </c>
      <c r="E23" s="13" t="n">
        <v>0.6979166666666666</v>
      </c>
      <c r="F23" s="12">
        <f>ROUND((E23-D23)*1440,0)</f>
        <v/>
      </c>
      <c r="G23" s="12">
        <f>IF(AND(A23&gt;=_xlfn.XLOOKUP(B23,Members!$A$5:$A$16,Members!$E$5:$E$16),A23&lt;=_xlfn.XLOOKUP(B23,Members!$A$5:$A$16,Members!$F$5:$F$16)),"Yes","No")</f>
        <v/>
      </c>
    </row>
    <row r="24">
      <c r="A24" s="4" t="n">
        <v>46290</v>
      </c>
      <c r="B24" s="5" t="inlineStr">
        <is>
          <t>G05</t>
        </is>
      </c>
      <c r="C24" s="12">
        <f>_xlfn.XLOOKUP(B24,Members!$A$5:$A$16,Members!$B$5:$B$16,"Check ID")</f>
        <v/>
      </c>
      <c r="D24" s="13" t="n">
        <v>0.7604166666666666</v>
      </c>
      <c r="E24" s="13" t="n">
        <v>0.8020833333333334</v>
      </c>
      <c r="F24" s="12">
        <f>ROUND((E24-D24)*1440,0)</f>
        <v/>
      </c>
      <c r="G24" s="12">
        <f>IF(AND(A24&gt;=_xlfn.XLOOKUP(B24,Members!$A$5:$A$16,Members!$E$5:$E$16),A24&lt;=_xlfn.XLOOKUP(B24,Members!$A$5:$A$16,Members!$F$5:$F$16)),"Yes","No")</f>
        <v/>
      </c>
    </row>
    <row r="25">
      <c r="A25" s="4" t="n">
        <v>46290</v>
      </c>
      <c r="B25" s="5" t="inlineStr">
        <is>
          <t>G06</t>
        </is>
      </c>
      <c r="C25" s="12">
        <f>_xlfn.XLOOKUP(B25,Members!$A$5:$A$16,Members!$B$5:$B$16,"Check ID")</f>
        <v/>
      </c>
      <c r="D25" s="13" t="n">
        <v>0.6770833333333334</v>
      </c>
      <c r="E25" s="13" t="n">
        <v>0.7083333333333334</v>
      </c>
      <c r="F25" s="12">
        <f>ROUND((E25-D25)*1440,0)</f>
        <v/>
      </c>
      <c r="G25" s="12">
        <f>IF(AND(A25&gt;=_xlfn.XLOOKUP(B25,Members!$A$5:$A$16,Members!$E$5:$E$16),A25&lt;=_xlfn.XLOOKUP(B25,Members!$A$5:$A$16,Members!$F$5:$F$16)),"Yes","No")</f>
        <v/>
      </c>
    </row>
    <row r="26">
      <c r="A26" s="4" t="n">
        <v>46290</v>
      </c>
      <c r="B26" s="5" t="inlineStr">
        <is>
          <t>G08</t>
        </is>
      </c>
      <c r="C26" s="12">
        <f>_xlfn.XLOOKUP(B26,Members!$A$5:$A$16,Members!$B$5:$B$16,"Check ID")</f>
        <v/>
      </c>
      <c r="D26" s="13" t="n">
        <v>0.5833333333333334</v>
      </c>
      <c r="E26" s="13" t="n">
        <v>0.6354166666666666</v>
      </c>
      <c r="F26" s="12">
        <f>ROUND((E26-D26)*1440,0)</f>
        <v/>
      </c>
      <c r="G26" s="12">
        <f>IF(AND(A26&gt;=_xlfn.XLOOKUP(B26,Members!$A$5:$A$16,Members!$E$5:$E$16),A26&lt;=_xlfn.XLOOKUP(B26,Members!$A$5:$A$16,Members!$F$5:$F$16)),"Yes","No")</f>
        <v/>
      </c>
    </row>
    <row r="27">
      <c r="A27" s="4" t="n">
        <v>46290</v>
      </c>
      <c r="B27" s="5" t="inlineStr">
        <is>
          <t>G09</t>
        </is>
      </c>
      <c r="C27" s="12">
        <f>_xlfn.XLOOKUP(B27,Members!$A$5:$A$16,Members!$B$5:$B$16,"Check ID")</f>
        <v/>
      </c>
      <c r="D27" s="13" t="n">
        <v>0.25</v>
      </c>
      <c r="E27" s="13" t="n">
        <v>0.28125</v>
      </c>
      <c r="F27" s="12">
        <f>ROUND((E27-D27)*1440,0)</f>
        <v/>
      </c>
      <c r="G27" s="12">
        <f>IF(AND(A27&gt;=_xlfn.XLOOKUP(B27,Members!$A$5:$A$16,Members!$E$5:$E$16),A27&lt;=_xlfn.XLOOKUP(B27,Members!$A$5:$A$16,Members!$F$5:$F$16)),"Yes","No")</f>
        <v/>
      </c>
    </row>
    <row r="28">
      <c r="A28" s="4" t="n">
        <v>46290</v>
      </c>
      <c r="B28" s="5" t="inlineStr">
        <is>
          <t>G11</t>
        </is>
      </c>
      <c r="C28" s="12">
        <f>_xlfn.XLOOKUP(B28,Members!$A$5:$A$16,Members!$B$5:$B$16,"Check ID")</f>
        <v/>
      </c>
      <c r="D28" s="13" t="n">
        <v>0.7291666666666666</v>
      </c>
      <c r="E28" s="13" t="n">
        <v>0.7708333333333334</v>
      </c>
      <c r="F28" s="12">
        <f>ROUND((E28-D28)*1440,0)</f>
        <v/>
      </c>
      <c r="G28" s="12">
        <f>IF(AND(A28&gt;=_xlfn.XLOOKUP(B28,Members!$A$5:$A$16,Members!$E$5:$E$16),A28&lt;=_xlfn.XLOOKUP(B28,Members!$A$5:$A$16,Members!$F$5:$F$16)),"Yes","No")</f>
        <v/>
      </c>
    </row>
    <row r="29">
      <c r="A29" s="4" t="n">
        <v>46291</v>
      </c>
      <c r="B29" s="5" t="inlineStr">
        <is>
          <t>G05</t>
        </is>
      </c>
      <c r="C29" s="12">
        <f>_xlfn.XLOOKUP(B29,Members!$A$5:$A$16,Members!$B$5:$B$16,"Check ID")</f>
        <v/>
      </c>
      <c r="D29" s="13" t="n">
        <v>0.2916666666666667</v>
      </c>
      <c r="E29" s="13" t="n">
        <v>0.3541666666666667</v>
      </c>
      <c r="F29" s="12">
        <f>ROUND((E29-D29)*1440,0)</f>
        <v/>
      </c>
      <c r="G29" s="12">
        <f>IF(AND(A29&gt;=_xlfn.XLOOKUP(B29,Members!$A$5:$A$16,Members!$E$5:$E$16),A29&lt;=_xlfn.XLOOKUP(B29,Members!$A$5:$A$16,Members!$F$5:$F$16)),"Yes","No")</f>
        <v/>
      </c>
    </row>
    <row r="30">
      <c r="A30" s="4" t="n">
        <v>46291</v>
      </c>
      <c r="B30" s="5" t="inlineStr">
        <is>
          <t>G06</t>
        </is>
      </c>
      <c r="C30" s="12">
        <f>_xlfn.XLOOKUP(B30,Members!$A$5:$A$16,Members!$B$5:$B$16,"Check ID")</f>
        <v/>
      </c>
      <c r="D30" s="13" t="n">
        <v>0.5625</v>
      </c>
      <c r="E30" s="13" t="n">
        <v>0.59375</v>
      </c>
      <c r="F30" s="12">
        <f>ROUND((E30-D30)*1440,0)</f>
        <v/>
      </c>
      <c r="G30" s="12">
        <f>IF(AND(A30&gt;=_xlfn.XLOOKUP(B30,Members!$A$5:$A$16,Members!$E$5:$E$16),A30&lt;=_xlfn.XLOOKUP(B30,Members!$A$5:$A$16,Members!$F$5:$F$16)),"Yes","No")</f>
        <v/>
      </c>
    </row>
    <row r="31">
      <c r="A31" s="4" t="n">
        <v>46291</v>
      </c>
      <c r="B31" s="5" t="inlineStr">
        <is>
          <t>G11</t>
        </is>
      </c>
      <c r="C31" s="12">
        <f>_xlfn.XLOOKUP(B31,Members!$A$5:$A$16,Members!$B$5:$B$16,"Check ID")</f>
        <v/>
      </c>
      <c r="D31" s="13" t="n">
        <v>0.25</v>
      </c>
      <c r="E31" s="13" t="n">
        <v>0.3020833333333333</v>
      </c>
      <c r="F31" s="12">
        <f>ROUND((E31-D31)*1440,0)</f>
        <v/>
      </c>
      <c r="G31" s="12">
        <f>IF(AND(A31&gt;=_xlfn.XLOOKUP(B31,Members!$A$5:$A$16,Members!$E$5:$E$16),A31&lt;=_xlfn.XLOOKUP(B31,Members!$A$5:$A$16,Members!$F$5:$F$16)),"Yes","No")</f>
        <v/>
      </c>
    </row>
    <row r="32">
      <c r="A32" s="4" t="n">
        <v>46292</v>
      </c>
      <c r="B32" s="5" t="inlineStr">
        <is>
          <t>G01</t>
        </is>
      </c>
      <c r="C32" s="12">
        <f>_xlfn.XLOOKUP(B32,Members!$A$5:$A$16,Members!$B$5:$B$16,"Check ID")</f>
        <v/>
      </c>
      <c r="D32" s="13" t="n">
        <v>0.6979166666666666</v>
      </c>
      <c r="E32" s="13" t="n">
        <v>0.7291666666666666</v>
      </c>
      <c r="F32" s="12">
        <f>ROUND((E32-D32)*1440,0)</f>
        <v/>
      </c>
      <c r="G32" s="12">
        <f>IF(AND(A32&gt;=_xlfn.XLOOKUP(B32,Members!$A$5:$A$16,Members!$E$5:$E$16),A32&lt;=_xlfn.XLOOKUP(B32,Members!$A$5:$A$16,Members!$F$5:$F$16)),"Yes","No")</f>
        <v/>
      </c>
    </row>
    <row r="33">
      <c r="A33" s="4" t="n">
        <v>46292</v>
      </c>
      <c r="B33" s="5" t="inlineStr">
        <is>
          <t>G08</t>
        </is>
      </c>
      <c r="C33" s="12">
        <f>_xlfn.XLOOKUP(B33,Members!$A$5:$A$16,Members!$B$5:$B$16,"Check ID")</f>
        <v/>
      </c>
      <c r="D33" s="13" t="n">
        <v>0.4895833333333333</v>
      </c>
      <c r="E33" s="13" t="n">
        <v>0.5520833333333334</v>
      </c>
      <c r="F33" s="12">
        <f>ROUND((E33-D33)*1440,0)</f>
        <v/>
      </c>
      <c r="G33" s="12">
        <f>IF(AND(A33&gt;=_xlfn.XLOOKUP(B33,Members!$A$5:$A$16,Members!$E$5:$E$16),A33&lt;=_xlfn.XLOOKUP(B33,Members!$A$5:$A$16,Members!$F$5:$F$16)),"Yes","No")</f>
        <v/>
      </c>
    </row>
    <row r="34">
      <c r="A34" s="4" t="n">
        <v>46292</v>
      </c>
      <c r="B34" s="5" t="inlineStr">
        <is>
          <t>G09</t>
        </is>
      </c>
      <c r="C34" s="12">
        <f>_xlfn.XLOOKUP(B34,Members!$A$5:$A$16,Members!$B$5:$B$16,"Check ID")</f>
        <v/>
      </c>
      <c r="D34" s="13" t="n">
        <v>0.5104166666666666</v>
      </c>
      <c r="E34" s="13" t="n">
        <v>0.5520833333333334</v>
      </c>
      <c r="F34" s="12">
        <f>ROUND((E34-D34)*1440,0)</f>
        <v/>
      </c>
      <c r="G34" s="12">
        <f>IF(AND(A34&gt;=_xlfn.XLOOKUP(B34,Members!$A$5:$A$16,Members!$E$5:$E$16),A34&lt;=_xlfn.XLOOKUP(B34,Members!$A$5:$A$16,Members!$F$5:$F$16)),"Yes","No")</f>
        <v/>
      </c>
    </row>
    <row r="35">
      <c r="A35" s="4" t="n">
        <v>46293</v>
      </c>
      <c r="B35" s="5" t="inlineStr">
        <is>
          <t>G05</t>
        </is>
      </c>
      <c r="C35" s="12">
        <f>_xlfn.XLOOKUP(B35,Members!$A$5:$A$16,Members!$B$5:$B$16,"Check ID")</f>
        <v/>
      </c>
      <c r="D35" s="13" t="n">
        <v>0.4270833333333333</v>
      </c>
      <c r="E35" s="13" t="n">
        <v>0.46875</v>
      </c>
      <c r="F35" s="12">
        <f>ROUND((E35-D35)*1440,0)</f>
        <v/>
      </c>
      <c r="G35" s="12">
        <f>IF(AND(A35&gt;=_xlfn.XLOOKUP(B35,Members!$A$5:$A$16,Members!$E$5:$E$16),A35&lt;=_xlfn.XLOOKUP(B35,Members!$A$5:$A$16,Members!$F$5:$F$16)),"Yes","No")</f>
        <v/>
      </c>
    </row>
    <row r="36">
      <c r="A36" s="4" t="n">
        <v>46294</v>
      </c>
      <c r="B36" s="5" t="inlineStr">
        <is>
          <t>G02</t>
        </is>
      </c>
      <c r="C36" s="12">
        <f>_xlfn.XLOOKUP(B36,Members!$A$5:$A$16,Members!$B$5:$B$16,"Check ID")</f>
        <v/>
      </c>
      <c r="D36" s="13" t="n">
        <v>0.6770833333333334</v>
      </c>
      <c r="E36" s="13" t="n">
        <v>0.71875</v>
      </c>
      <c r="F36" s="12">
        <f>ROUND((E36-D36)*1440,0)</f>
        <v/>
      </c>
      <c r="G36" s="12">
        <f>IF(AND(A36&gt;=_xlfn.XLOOKUP(B36,Members!$A$5:$A$16,Members!$E$5:$E$16),A36&lt;=_xlfn.XLOOKUP(B36,Members!$A$5:$A$16,Members!$F$5:$F$16)),"Yes","No")</f>
        <v/>
      </c>
    </row>
    <row r="37">
      <c r="A37" s="4" t="n">
        <v>46294</v>
      </c>
      <c r="B37" s="5" t="inlineStr">
        <is>
          <t>G05</t>
        </is>
      </c>
      <c r="C37" s="12">
        <f>_xlfn.XLOOKUP(B37,Members!$A$5:$A$16,Members!$B$5:$B$16,"Check ID")</f>
        <v/>
      </c>
      <c r="D37" s="13" t="n">
        <v>0.5208333333333334</v>
      </c>
      <c r="E37" s="13" t="n">
        <v>0.5520833333333334</v>
      </c>
      <c r="F37" s="12">
        <f>ROUND((E37-D37)*1440,0)</f>
        <v/>
      </c>
      <c r="G37" s="12">
        <f>IF(AND(A37&gt;=_xlfn.XLOOKUP(B37,Members!$A$5:$A$16,Members!$E$5:$E$16),A37&lt;=_xlfn.XLOOKUP(B37,Members!$A$5:$A$16,Members!$F$5:$F$16)),"Yes","No")</f>
        <v/>
      </c>
    </row>
    <row r="38">
      <c r="A38" s="4" t="n">
        <v>46295</v>
      </c>
      <c r="B38" s="5" t="inlineStr">
        <is>
          <t>G03</t>
        </is>
      </c>
      <c r="C38" s="12">
        <f>_xlfn.XLOOKUP(B38,Members!$A$5:$A$16,Members!$B$5:$B$16,"Check ID")</f>
        <v/>
      </c>
      <c r="D38" s="13" t="n">
        <v>0.3333333333333333</v>
      </c>
      <c r="E38" s="13" t="n">
        <v>0.375</v>
      </c>
      <c r="F38" s="12">
        <f>ROUND((E38-D38)*1440,0)</f>
        <v/>
      </c>
      <c r="G38" s="12">
        <f>IF(AND(A38&gt;=_xlfn.XLOOKUP(B38,Members!$A$5:$A$16,Members!$E$5:$E$16),A38&lt;=_xlfn.XLOOKUP(B38,Members!$A$5:$A$16,Members!$F$5:$F$16)),"Yes","No")</f>
        <v/>
      </c>
    </row>
    <row r="39">
      <c r="A39" s="4" t="n">
        <v>46295</v>
      </c>
      <c r="B39" s="5" t="inlineStr">
        <is>
          <t>G06</t>
        </is>
      </c>
      <c r="C39" s="12">
        <f>_xlfn.XLOOKUP(B39,Members!$A$5:$A$16,Members!$B$5:$B$16,"Check ID")</f>
        <v/>
      </c>
      <c r="D39" s="13" t="n">
        <v>0.7604166666666666</v>
      </c>
      <c r="E39" s="13" t="n">
        <v>0.8229166666666666</v>
      </c>
      <c r="F39" s="12">
        <f>ROUND((E39-D39)*1440,0)</f>
        <v/>
      </c>
      <c r="G39" s="12">
        <f>IF(AND(A39&gt;=_xlfn.XLOOKUP(B39,Members!$A$5:$A$16,Members!$E$5:$E$16),A39&lt;=_xlfn.XLOOKUP(B39,Members!$A$5:$A$16,Members!$F$5:$F$16)),"Yes","No")</f>
        <v/>
      </c>
    </row>
    <row r="40">
      <c r="A40" s="4" t="n">
        <v>46295</v>
      </c>
      <c r="B40" s="5" t="inlineStr">
        <is>
          <t>G09</t>
        </is>
      </c>
      <c r="C40" s="12">
        <f>_xlfn.XLOOKUP(B40,Members!$A$5:$A$16,Members!$B$5:$B$16,"Check ID")</f>
        <v/>
      </c>
      <c r="D40" s="13" t="n">
        <v>0.3125</v>
      </c>
      <c r="E40" s="13" t="n">
        <v>0.3645833333333333</v>
      </c>
      <c r="F40" s="12">
        <f>ROUND((E40-D40)*1440,0)</f>
        <v/>
      </c>
      <c r="G40" s="12">
        <f>IF(AND(A40&gt;=_xlfn.XLOOKUP(B40,Members!$A$5:$A$16,Members!$E$5:$E$16),A40&lt;=_xlfn.XLOOKUP(B40,Members!$A$5:$A$16,Members!$F$5:$F$16)),"Yes","No")</f>
        <v/>
      </c>
    </row>
    <row r="41">
      <c r="A41" s="4" t="n">
        <v>46296</v>
      </c>
      <c r="B41" s="5" t="inlineStr">
        <is>
          <t>G01</t>
        </is>
      </c>
      <c r="C41" s="12">
        <f>_xlfn.XLOOKUP(B41,Members!$A$5:$A$16,Members!$B$5:$B$16,"Check ID")</f>
        <v/>
      </c>
      <c r="D41" s="13" t="n">
        <v>0.5208333333333334</v>
      </c>
      <c r="E41" s="13" t="n">
        <v>0.5729166666666666</v>
      </c>
      <c r="F41" s="12">
        <f>ROUND((E41-D41)*1440,0)</f>
        <v/>
      </c>
      <c r="G41" s="12">
        <f>IF(AND(A41&gt;=_xlfn.XLOOKUP(B41,Members!$A$5:$A$16,Members!$E$5:$E$16),A41&lt;=_xlfn.XLOOKUP(B41,Members!$A$5:$A$16,Members!$F$5:$F$16)),"Yes","No")</f>
        <v/>
      </c>
    </row>
    <row r="42">
      <c r="A42" s="4" t="n">
        <v>46296</v>
      </c>
      <c r="B42" s="5" t="inlineStr">
        <is>
          <t>G02</t>
        </is>
      </c>
      <c r="C42" s="12">
        <f>_xlfn.XLOOKUP(B42,Members!$A$5:$A$16,Members!$B$5:$B$16,"Check ID")</f>
        <v/>
      </c>
      <c r="D42" s="13" t="n">
        <v>0.78125</v>
      </c>
      <c r="E42" s="13" t="n">
        <v>0.8229166666666666</v>
      </c>
      <c r="F42" s="12">
        <f>ROUND((E42-D42)*1440,0)</f>
        <v/>
      </c>
      <c r="G42" s="12">
        <f>IF(AND(A42&gt;=_xlfn.XLOOKUP(B42,Members!$A$5:$A$16,Members!$E$5:$E$16),A42&lt;=_xlfn.XLOOKUP(B42,Members!$A$5:$A$16,Members!$F$5:$F$16)),"Yes","No")</f>
        <v/>
      </c>
    </row>
    <row r="43">
      <c r="A43" s="4" t="n">
        <v>46296</v>
      </c>
      <c r="B43" s="5" t="inlineStr">
        <is>
          <t>G05</t>
        </is>
      </c>
      <c r="C43" s="12">
        <f>_xlfn.XLOOKUP(B43,Members!$A$5:$A$16,Members!$B$5:$B$16,"Check ID")</f>
        <v/>
      </c>
      <c r="D43" s="13" t="n">
        <v>0.46875</v>
      </c>
      <c r="E43" s="13" t="n">
        <v>0.53125</v>
      </c>
      <c r="F43" s="12">
        <f>ROUND((E43-D43)*1440,0)</f>
        <v/>
      </c>
      <c r="G43" s="12">
        <f>IF(AND(A43&gt;=_xlfn.XLOOKUP(B43,Members!$A$5:$A$16,Members!$E$5:$E$16),A43&lt;=_xlfn.XLOOKUP(B43,Members!$A$5:$A$16,Members!$F$5:$F$16)),"Yes","No")</f>
        <v/>
      </c>
    </row>
    <row r="44">
      <c r="A44" s="4" t="n">
        <v>46296</v>
      </c>
      <c r="B44" s="5" t="inlineStr">
        <is>
          <t>G08</t>
        </is>
      </c>
      <c r="C44" s="12">
        <f>_xlfn.XLOOKUP(B44,Members!$A$5:$A$16,Members!$B$5:$B$16,"Check ID")</f>
        <v/>
      </c>
      <c r="D44" s="13" t="n">
        <v>0.25</v>
      </c>
      <c r="E44" s="13" t="n">
        <v>0.3020833333333333</v>
      </c>
      <c r="F44" s="12">
        <f>ROUND((E44-D44)*1440,0)</f>
        <v/>
      </c>
      <c r="G44" s="12">
        <f>IF(AND(A44&gt;=_xlfn.XLOOKUP(B44,Members!$A$5:$A$16,Members!$E$5:$E$16),A44&lt;=_xlfn.XLOOKUP(B44,Members!$A$5:$A$16,Members!$F$5:$F$16)),"Yes","No")</f>
        <v/>
      </c>
    </row>
    <row r="45">
      <c r="A45" s="4" t="n">
        <v>46297</v>
      </c>
      <c r="B45" s="5" t="inlineStr">
        <is>
          <t>G05</t>
        </is>
      </c>
      <c r="C45" s="12">
        <f>_xlfn.XLOOKUP(B45,Members!$A$5:$A$16,Members!$B$5:$B$16,"Check ID")</f>
        <v/>
      </c>
      <c r="D45" s="13" t="n">
        <v>0.28125</v>
      </c>
      <c r="E45" s="13" t="n">
        <v>0.34375</v>
      </c>
      <c r="F45" s="12">
        <f>ROUND((E45-D45)*1440,0)</f>
        <v/>
      </c>
      <c r="G45" s="12">
        <f>IF(AND(A45&gt;=_xlfn.XLOOKUP(B45,Members!$A$5:$A$16,Members!$E$5:$E$16),A45&lt;=_xlfn.XLOOKUP(B45,Members!$A$5:$A$16,Members!$F$5:$F$16)),"Yes","No")</f>
        <v/>
      </c>
    </row>
    <row r="46">
      <c r="A46" s="4" t="n">
        <v>46297</v>
      </c>
      <c r="B46" s="5" t="inlineStr">
        <is>
          <t>G09</t>
        </is>
      </c>
      <c r="C46" s="12">
        <f>_xlfn.XLOOKUP(B46,Members!$A$5:$A$16,Members!$B$5:$B$16,"Check ID")</f>
        <v/>
      </c>
      <c r="D46" s="13" t="n">
        <v>0.6145833333333334</v>
      </c>
      <c r="E46" s="13" t="n">
        <v>0.6458333333333334</v>
      </c>
      <c r="F46" s="12">
        <f>ROUND((E46-D46)*1440,0)</f>
        <v/>
      </c>
      <c r="G46" s="12">
        <f>IF(AND(A46&gt;=_xlfn.XLOOKUP(B46,Members!$A$5:$A$16,Members!$E$5:$E$16),A46&lt;=_xlfn.XLOOKUP(B46,Members!$A$5:$A$16,Members!$F$5:$F$16)),"Yes","No")</f>
        <v/>
      </c>
    </row>
    <row r="47">
      <c r="A47" s="4" t="n">
        <v>46298</v>
      </c>
      <c r="B47" s="5" t="inlineStr">
        <is>
          <t>G01</t>
        </is>
      </c>
      <c r="C47" s="12">
        <f>_xlfn.XLOOKUP(B47,Members!$A$5:$A$16,Members!$B$5:$B$16,"Check ID")</f>
        <v/>
      </c>
      <c r="D47" s="13" t="n">
        <v>0.59375</v>
      </c>
      <c r="E47" s="13" t="n">
        <v>0.6354166666666666</v>
      </c>
      <c r="F47" s="12">
        <f>ROUND((E47-D47)*1440,0)</f>
        <v/>
      </c>
      <c r="G47" s="12">
        <f>IF(AND(A47&gt;=_xlfn.XLOOKUP(B47,Members!$A$5:$A$16,Members!$E$5:$E$16),A47&lt;=_xlfn.XLOOKUP(B47,Members!$A$5:$A$16,Members!$F$5:$F$16)),"Yes","No")</f>
        <v/>
      </c>
    </row>
    <row r="48">
      <c r="A48" s="4" t="n">
        <v>46298</v>
      </c>
      <c r="B48" s="5" t="inlineStr">
        <is>
          <t>G05</t>
        </is>
      </c>
      <c r="C48" s="12">
        <f>_xlfn.XLOOKUP(B48,Members!$A$5:$A$16,Members!$B$5:$B$16,"Check ID")</f>
        <v/>
      </c>
      <c r="D48" s="13" t="n">
        <v>0.59375</v>
      </c>
      <c r="E48" s="13" t="n">
        <v>0.625</v>
      </c>
      <c r="F48" s="12">
        <f>ROUND((E48-D48)*1440,0)</f>
        <v/>
      </c>
      <c r="G48" s="12">
        <f>IF(AND(A48&gt;=_xlfn.XLOOKUP(B48,Members!$A$5:$A$16,Members!$E$5:$E$16),A48&lt;=_xlfn.XLOOKUP(B48,Members!$A$5:$A$16,Members!$F$5:$F$16)),"Yes","No")</f>
        <v/>
      </c>
    </row>
    <row r="49">
      <c r="A49" s="4" t="n">
        <v>46298</v>
      </c>
      <c r="B49" s="5" t="inlineStr">
        <is>
          <t>G08</t>
        </is>
      </c>
      <c r="C49" s="12">
        <f>_xlfn.XLOOKUP(B49,Members!$A$5:$A$16,Members!$B$5:$B$16,"Check ID")</f>
        <v/>
      </c>
      <c r="D49" s="13" t="n">
        <v>0.3333333333333333</v>
      </c>
      <c r="E49" s="13" t="n">
        <v>0.375</v>
      </c>
      <c r="F49" s="12">
        <f>ROUND((E49-D49)*1440,0)</f>
        <v/>
      </c>
      <c r="G49" s="12">
        <f>IF(AND(A49&gt;=_xlfn.XLOOKUP(B49,Members!$A$5:$A$16,Members!$E$5:$E$16),A49&lt;=_xlfn.XLOOKUP(B49,Members!$A$5:$A$16,Members!$F$5:$F$16)),"Yes","No")</f>
        <v/>
      </c>
    </row>
    <row r="50">
      <c r="A50" s="4" t="n">
        <v>46299</v>
      </c>
      <c r="B50" s="5" t="inlineStr">
        <is>
          <t>G01</t>
        </is>
      </c>
      <c r="C50" s="12">
        <f>_xlfn.XLOOKUP(B50,Members!$A$5:$A$16,Members!$B$5:$B$16,"Check ID")</f>
        <v/>
      </c>
      <c r="D50" s="13" t="n">
        <v>0.4270833333333333</v>
      </c>
      <c r="E50" s="13" t="n">
        <v>0.4791666666666667</v>
      </c>
      <c r="F50" s="12">
        <f>ROUND((E50-D50)*1440,0)</f>
        <v/>
      </c>
      <c r="G50" s="12">
        <f>IF(AND(A50&gt;=_xlfn.XLOOKUP(B50,Members!$A$5:$A$16,Members!$E$5:$E$16),A50&lt;=_xlfn.XLOOKUP(B50,Members!$A$5:$A$16,Members!$F$5:$F$16)),"Yes","No")</f>
        <v/>
      </c>
    </row>
    <row r="51">
      <c r="A51" s="4" t="n">
        <v>46299</v>
      </c>
      <c r="B51" s="5" t="inlineStr">
        <is>
          <t>G02</t>
        </is>
      </c>
      <c r="C51" s="12">
        <f>_xlfn.XLOOKUP(B51,Members!$A$5:$A$16,Members!$B$5:$B$16,"Check ID")</f>
        <v/>
      </c>
      <c r="D51" s="13" t="n">
        <v>0.5416666666666666</v>
      </c>
      <c r="E51" s="13" t="n">
        <v>0.6041666666666666</v>
      </c>
      <c r="F51" s="12">
        <f>ROUND((E51-D51)*1440,0)</f>
        <v/>
      </c>
      <c r="G51" s="12">
        <f>IF(AND(A51&gt;=_xlfn.XLOOKUP(B51,Members!$A$5:$A$16,Members!$E$5:$E$16),A51&lt;=_xlfn.XLOOKUP(B51,Members!$A$5:$A$16,Members!$F$5:$F$16)),"Yes","No")</f>
        <v/>
      </c>
    </row>
    <row r="52">
      <c r="A52" s="4" t="n">
        <v>46299</v>
      </c>
      <c r="B52" s="5" t="inlineStr">
        <is>
          <t>G03</t>
        </is>
      </c>
      <c r="C52" s="12">
        <f>_xlfn.XLOOKUP(B52,Members!$A$5:$A$16,Members!$B$5:$B$16,"Check ID")</f>
        <v/>
      </c>
      <c r="D52" s="13" t="n">
        <v>0.34375</v>
      </c>
      <c r="E52" s="13" t="n">
        <v>0.3958333333333333</v>
      </c>
      <c r="F52" s="12">
        <f>ROUND((E52-D52)*1440,0)</f>
        <v/>
      </c>
      <c r="G52" s="12">
        <f>IF(AND(A52&gt;=_xlfn.XLOOKUP(B52,Members!$A$5:$A$16,Members!$E$5:$E$16),A52&lt;=_xlfn.XLOOKUP(B52,Members!$A$5:$A$16,Members!$F$5:$F$16)),"Yes","No")</f>
        <v/>
      </c>
    </row>
    <row r="53">
      <c r="A53" s="4" t="n">
        <v>46299</v>
      </c>
      <c r="B53" s="5" t="inlineStr">
        <is>
          <t>G05</t>
        </is>
      </c>
      <c r="C53" s="12">
        <f>_xlfn.XLOOKUP(B53,Members!$A$5:$A$16,Members!$B$5:$B$16,"Check ID")</f>
        <v/>
      </c>
      <c r="D53" s="13" t="n">
        <v>0.5729166666666666</v>
      </c>
      <c r="E53" s="13" t="n">
        <v>0.625</v>
      </c>
      <c r="F53" s="12">
        <f>ROUND((E53-D53)*1440,0)</f>
        <v/>
      </c>
      <c r="G53" s="12">
        <f>IF(AND(A53&gt;=_xlfn.XLOOKUP(B53,Members!$A$5:$A$16,Members!$E$5:$E$16),A53&lt;=_xlfn.XLOOKUP(B53,Members!$A$5:$A$16,Members!$F$5:$F$16)),"Yes","No")</f>
        <v/>
      </c>
    </row>
    <row r="54">
      <c r="A54" s="4" t="n">
        <v>46299</v>
      </c>
      <c r="B54" s="5" t="inlineStr">
        <is>
          <t>G08</t>
        </is>
      </c>
      <c r="C54" s="12">
        <f>_xlfn.XLOOKUP(B54,Members!$A$5:$A$16,Members!$B$5:$B$16,"Check ID")</f>
        <v/>
      </c>
      <c r="D54" s="13" t="n">
        <v>0.7291666666666666</v>
      </c>
      <c r="E54" s="13" t="n">
        <v>0.7708333333333334</v>
      </c>
      <c r="F54" s="12">
        <f>ROUND((E54-D54)*1440,0)</f>
        <v/>
      </c>
      <c r="G54" s="12">
        <f>IF(AND(A54&gt;=_xlfn.XLOOKUP(B54,Members!$A$5:$A$16,Members!$E$5:$E$16),A54&lt;=_xlfn.XLOOKUP(B54,Members!$A$5:$A$16,Members!$F$5:$F$16)),"Yes","No")</f>
        <v/>
      </c>
    </row>
    <row r="55">
      <c r="A55" s="4" t="n">
        <v>46300</v>
      </c>
      <c r="B55" s="5" t="inlineStr">
        <is>
          <t>G01</t>
        </is>
      </c>
      <c r="C55" s="12">
        <f>_xlfn.XLOOKUP(B55,Members!$A$5:$A$16,Members!$B$5:$B$16,"Check ID")</f>
        <v/>
      </c>
      <c r="D55" s="13" t="n">
        <v>0.4479166666666667</v>
      </c>
      <c r="E55" s="13" t="n">
        <v>0.4791666666666667</v>
      </c>
      <c r="F55" s="12">
        <f>ROUND((E55-D55)*1440,0)</f>
        <v/>
      </c>
      <c r="G55" s="12">
        <f>IF(AND(A55&gt;=_xlfn.XLOOKUP(B55,Members!$A$5:$A$16,Members!$E$5:$E$16),A55&lt;=_xlfn.XLOOKUP(B55,Members!$A$5:$A$16,Members!$F$5:$F$16)),"Yes","No")</f>
        <v/>
      </c>
    </row>
    <row r="56">
      <c r="A56" s="4" t="n">
        <v>46300</v>
      </c>
      <c r="B56" s="5" t="inlineStr">
        <is>
          <t>G02</t>
        </is>
      </c>
      <c r="C56" s="12">
        <f>_xlfn.XLOOKUP(B56,Members!$A$5:$A$16,Members!$B$5:$B$16,"Check ID")</f>
        <v/>
      </c>
      <c r="D56" s="13" t="n">
        <v>0.5</v>
      </c>
      <c r="E56" s="13" t="n">
        <v>0.5416666666666666</v>
      </c>
      <c r="F56" s="12">
        <f>ROUND((E56-D56)*1440,0)</f>
        <v/>
      </c>
      <c r="G56" s="12">
        <f>IF(AND(A56&gt;=_xlfn.XLOOKUP(B56,Members!$A$5:$A$16,Members!$E$5:$E$16),A56&lt;=_xlfn.XLOOKUP(B56,Members!$A$5:$A$16,Members!$F$5:$F$16)),"Yes","No")</f>
        <v/>
      </c>
    </row>
    <row r="57">
      <c r="A57" s="4" t="n">
        <v>46300</v>
      </c>
      <c r="B57" s="5" t="inlineStr">
        <is>
          <t>G08</t>
        </is>
      </c>
      <c r="C57" s="12">
        <f>_xlfn.XLOOKUP(B57,Members!$A$5:$A$16,Members!$B$5:$B$16,"Check ID")</f>
        <v/>
      </c>
      <c r="D57" s="13" t="n">
        <v>0.6979166666666666</v>
      </c>
      <c r="E57" s="13" t="n">
        <v>0.7395833333333334</v>
      </c>
      <c r="F57" s="12">
        <f>ROUND((E57-D57)*1440,0)</f>
        <v/>
      </c>
      <c r="G57" s="12">
        <f>IF(AND(A57&gt;=_xlfn.XLOOKUP(B57,Members!$A$5:$A$16,Members!$E$5:$E$16),A57&lt;=_xlfn.XLOOKUP(B57,Members!$A$5:$A$16,Members!$F$5:$F$16)),"Yes","No")</f>
        <v/>
      </c>
    </row>
    <row r="58">
      <c r="A58" s="4" t="n">
        <v>46300</v>
      </c>
      <c r="B58" s="5" t="inlineStr">
        <is>
          <t>G10</t>
        </is>
      </c>
      <c r="C58" s="12">
        <f>_xlfn.XLOOKUP(B58,Members!$A$5:$A$16,Members!$B$5:$B$16,"Check ID")</f>
        <v/>
      </c>
      <c r="D58" s="13" t="n">
        <v>0.2604166666666667</v>
      </c>
      <c r="E58" s="13" t="n">
        <v>0.3020833333333333</v>
      </c>
      <c r="F58" s="12">
        <f>ROUND((E58-D58)*1440,0)</f>
        <v/>
      </c>
      <c r="G58" s="12">
        <f>IF(AND(A58&gt;=_xlfn.XLOOKUP(B58,Members!$A$5:$A$16,Members!$E$5:$E$16),A58&lt;=_xlfn.XLOOKUP(B58,Members!$A$5:$A$16,Members!$F$5:$F$16)),"Yes","No")</f>
        <v/>
      </c>
    </row>
    <row r="59">
      <c r="A59" s="4" t="n">
        <v>46301</v>
      </c>
      <c r="B59" s="5" t="inlineStr">
        <is>
          <t>G01</t>
        </is>
      </c>
      <c r="C59" s="12">
        <f>_xlfn.XLOOKUP(B59,Members!$A$5:$A$16,Members!$B$5:$B$16,"Check ID")</f>
        <v/>
      </c>
      <c r="D59" s="13" t="n">
        <v>0.25</v>
      </c>
      <c r="E59" s="13" t="n">
        <v>0.2916666666666667</v>
      </c>
      <c r="F59" s="12">
        <f>ROUND((E59-D59)*1440,0)</f>
        <v/>
      </c>
      <c r="G59" s="12">
        <f>IF(AND(A59&gt;=_xlfn.XLOOKUP(B59,Members!$A$5:$A$16,Members!$E$5:$E$16),A59&lt;=_xlfn.XLOOKUP(B59,Members!$A$5:$A$16,Members!$F$5:$F$16)),"Yes","No")</f>
        <v/>
      </c>
    </row>
    <row r="60">
      <c r="A60" s="4" t="n">
        <v>46301</v>
      </c>
      <c r="B60" s="5" t="inlineStr">
        <is>
          <t>G02</t>
        </is>
      </c>
      <c r="C60" s="12">
        <f>_xlfn.XLOOKUP(B60,Members!$A$5:$A$16,Members!$B$5:$B$16,"Check ID")</f>
        <v/>
      </c>
      <c r="D60" s="13" t="n">
        <v>0.6354166666666666</v>
      </c>
      <c r="E60" s="13" t="n">
        <v>0.6979166666666666</v>
      </c>
      <c r="F60" s="12">
        <f>ROUND((E60-D60)*1440,0)</f>
        <v/>
      </c>
      <c r="G60" s="12">
        <f>IF(AND(A60&gt;=_xlfn.XLOOKUP(B60,Members!$A$5:$A$16,Members!$E$5:$E$16),A60&lt;=_xlfn.XLOOKUP(B60,Members!$A$5:$A$16,Members!$F$5:$F$16)),"Yes","No")</f>
        <v/>
      </c>
    </row>
    <row r="61">
      <c r="A61" s="4" t="n">
        <v>46301</v>
      </c>
      <c r="B61" s="5" t="inlineStr">
        <is>
          <t>G06</t>
        </is>
      </c>
      <c r="C61" s="12">
        <f>_xlfn.XLOOKUP(B61,Members!$A$5:$A$16,Members!$B$5:$B$16,"Check ID")</f>
        <v/>
      </c>
      <c r="D61" s="13" t="n">
        <v>0.4166666666666667</v>
      </c>
      <c r="E61" s="13" t="n">
        <v>0.4791666666666667</v>
      </c>
      <c r="F61" s="12">
        <f>ROUND((E61-D61)*1440,0)</f>
        <v/>
      </c>
      <c r="G61" s="12">
        <f>IF(AND(A61&gt;=_xlfn.XLOOKUP(B61,Members!$A$5:$A$16,Members!$E$5:$E$16),A61&lt;=_xlfn.XLOOKUP(B61,Members!$A$5:$A$16,Members!$F$5:$F$16)),"Yes","No")</f>
        <v/>
      </c>
    </row>
    <row r="62">
      <c r="A62" s="4" t="n">
        <v>46301</v>
      </c>
      <c r="B62" s="5" t="inlineStr">
        <is>
          <t>G10</t>
        </is>
      </c>
      <c r="C62" s="12">
        <f>_xlfn.XLOOKUP(B62,Members!$A$5:$A$16,Members!$B$5:$B$16,"Check ID")</f>
        <v/>
      </c>
      <c r="D62" s="13" t="n">
        <v>0.2708333333333333</v>
      </c>
      <c r="E62" s="13" t="n">
        <v>0.3229166666666667</v>
      </c>
      <c r="F62" s="12">
        <f>ROUND((E62-D62)*1440,0)</f>
        <v/>
      </c>
      <c r="G62" s="12">
        <f>IF(AND(A62&gt;=_xlfn.XLOOKUP(B62,Members!$A$5:$A$16,Members!$E$5:$E$16),A62&lt;=_xlfn.XLOOKUP(B62,Members!$A$5:$A$16,Members!$F$5:$F$16)),"Yes","No")</f>
        <v/>
      </c>
    </row>
    <row r="63">
      <c r="A63" s="4" t="n">
        <v>46302</v>
      </c>
      <c r="B63" s="5" t="inlineStr">
        <is>
          <t>G01</t>
        </is>
      </c>
      <c r="C63" s="12">
        <f>_xlfn.XLOOKUP(B63,Members!$A$5:$A$16,Members!$B$5:$B$16,"Check ID")</f>
        <v/>
      </c>
      <c r="D63" s="13" t="n">
        <v>0.4791666666666667</v>
      </c>
      <c r="E63" s="13" t="n">
        <v>0.5208333333333334</v>
      </c>
      <c r="F63" s="12">
        <f>ROUND((E63-D63)*1440,0)</f>
        <v/>
      </c>
      <c r="G63" s="12">
        <f>IF(AND(A63&gt;=_xlfn.XLOOKUP(B63,Members!$A$5:$A$16,Members!$E$5:$E$16),A63&lt;=_xlfn.XLOOKUP(B63,Members!$A$5:$A$16,Members!$F$5:$F$16)),"Yes","No")</f>
        <v/>
      </c>
    </row>
    <row r="64">
      <c r="A64" s="4" t="n">
        <v>46302</v>
      </c>
      <c r="B64" s="5" t="inlineStr">
        <is>
          <t>G02</t>
        </is>
      </c>
      <c r="C64" s="12">
        <f>_xlfn.XLOOKUP(B64,Members!$A$5:$A$16,Members!$B$5:$B$16,"Check ID")</f>
        <v/>
      </c>
      <c r="D64" s="13" t="n">
        <v>0.375</v>
      </c>
      <c r="E64" s="13" t="n">
        <v>0.4270833333333333</v>
      </c>
      <c r="F64" s="12">
        <f>ROUND((E64-D64)*1440,0)</f>
        <v/>
      </c>
      <c r="G64" s="12">
        <f>IF(AND(A64&gt;=_xlfn.XLOOKUP(B64,Members!$A$5:$A$16,Members!$E$5:$E$16),A64&lt;=_xlfn.XLOOKUP(B64,Members!$A$5:$A$16,Members!$F$5:$F$16)),"Yes","No")</f>
        <v/>
      </c>
    </row>
    <row r="65">
      <c r="A65" s="4" t="n">
        <v>46302</v>
      </c>
      <c r="B65" s="5" t="inlineStr">
        <is>
          <t>G08</t>
        </is>
      </c>
      <c r="C65" s="12">
        <f>_xlfn.XLOOKUP(B65,Members!$A$5:$A$16,Members!$B$5:$B$16,"Check ID")</f>
        <v/>
      </c>
      <c r="D65" s="13" t="n">
        <v>0.3541666666666667</v>
      </c>
      <c r="E65" s="13" t="n">
        <v>0.40625</v>
      </c>
      <c r="F65" s="12">
        <f>ROUND((E65-D65)*1440,0)</f>
        <v/>
      </c>
      <c r="G65" s="12">
        <f>IF(AND(A65&gt;=_xlfn.XLOOKUP(B65,Members!$A$5:$A$16,Members!$E$5:$E$16),A65&lt;=_xlfn.XLOOKUP(B65,Members!$A$5:$A$16,Members!$F$5:$F$16)),"Yes","No")</f>
        <v/>
      </c>
    </row>
    <row r="66">
      <c r="A66" s="4" t="n">
        <v>46302</v>
      </c>
      <c r="B66" s="5" t="inlineStr">
        <is>
          <t>G09</t>
        </is>
      </c>
      <c r="C66" s="12">
        <f>_xlfn.XLOOKUP(B66,Members!$A$5:$A$16,Members!$B$5:$B$16,"Check ID")</f>
        <v/>
      </c>
      <c r="D66" s="13" t="n">
        <v>0.4583333333333333</v>
      </c>
      <c r="E66" s="13" t="n">
        <v>0.5</v>
      </c>
      <c r="F66" s="12">
        <f>ROUND((E66-D66)*1440,0)</f>
        <v/>
      </c>
      <c r="G66" s="12">
        <f>IF(AND(A66&gt;=_xlfn.XLOOKUP(B66,Members!$A$5:$A$16,Members!$E$5:$E$16),A66&lt;=_xlfn.XLOOKUP(B66,Members!$A$5:$A$16,Members!$F$5:$F$16)),"Yes","No")</f>
        <v/>
      </c>
    </row>
    <row r="67">
      <c r="A67" s="4" t="n">
        <v>46302</v>
      </c>
      <c r="B67" s="5" t="inlineStr">
        <is>
          <t>G10</t>
        </is>
      </c>
      <c r="C67" s="12">
        <f>_xlfn.XLOOKUP(B67,Members!$A$5:$A$16,Members!$B$5:$B$16,"Check ID")</f>
        <v/>
      </c>
      <c r="D67" s="13" t="n">
        <v>0.3229166666666667</v>
      </c>
      <c r="E67" s="13" t="n">
        <v>0.3541666666666667</v>
      </c>
      <c r="F67" s="12">
        <f>ROUND((E67-D67)*1440,0)</f>
        <v/>
      </c>
      <c r="G67" s="12">
        <f>IF(AND(A67&gt;=_xlfn.XLOOKUP(B67,Members!$A$5:$A$16,Members!$E$5:$E$16),A67&lt;=_xlfn.XLOOKUP(B67,Members!$A$5:$A$16,Members!$F$5:$F$16)),"Yes","No")</f>
        <v/>
      </c>
    </row>
    <row r="68">
      <c r="A68" s="4" t="n">
        <v>46303</v>
      </c>
      <c r="B68" s="5" t="inlineStr">
        <is>
          <t>G01</t>
        </is>
      </c>
      <c r="C68" s="12">
        <f>_xlfn.XLOOKUP(B68,Members!$A$5:$A$16,Members!$B$5:$B$16,"Check ID")</f>
        <v/>
      </c>
      <c r="D68" s="13" t="n">
        <v>0.4270833333333333</v>
      </c>
      <c r="E68" s="13" t="n">
        <v>0.4791666666666667</v>
      </c>
      <c r="F68" s="12">
        <f>ROUND((E68-D68)*1440,0)</f>
        <v/>
      </c>
      <c r="G68" s="12">
        <f>IF(AND(A68&gt;=_xlfn.XLOOKUP(B68,Members!$A$5:$A$16,Members!$E$5:$E$16),A68&lt;=_xlfn.XLOOKUP(B68,Members!$A$5:$A$16,Members!$F$5:$F$16)),"Yes","No")</f>
        <v/>
      </c>
    </row>
    <row r="69">
      <c r="A69" s="4" t="n">
        <v>46303</v>
      </c>
      <c r="B69" s="5" t="inlineStr">
        <is>
          <t>G02</t>
        </is>
      </c>
      <c r="C69" s="12">
        <f>_xlfn.XLOOKUP(B69,Members!$A$5:$A$16,Members!$B$5:$B$16,"Check ID")</f>
        <v/>
      </c>
      <c r="D69" s="13" t="n">
        <v>0.5104166666666666</v>
      </c>
      <c r="E69" s="13" t="n">
        <v>0.5625</v>
      </c>
      <c r="F69" s="12">
        <f>ROUND((E69-D69)*1440,0)</f>
        <v/>
      </c>
      <c r="G69" s="12">
        <f>IF(AND(A69&gt;=_xlfn.XLOOKUP(B69,Members!$A$5:$A$16,Members!$E$5:$E$16),A69&lt;=_xlfn.XLOOKUP(B69,Members!$A$5:$A$16,Members!$F$5:$F$16)),"Yes","No")</f>
        <v/>
      </c>
    </row>
    <row r="70">
      <c r="A70" s="4" t="n">
        <v>46303</v>
      </c>
      <c r="B70" s="5" t="inlineStr">
        <is>
          <t>G05</t>
        </is>
      </c>
      <c r="C70" s="12">
        <f>_xlfn.XLOOKUP(B70,Members!$A$5:$A$16,Members!$B$5:$B$16,"Check ID")</f>
        <v/>
      </c>
      <c r="D70" s="13" t="n">
        <v>0.5833333333333334</v>
      </c>
      <c r="E70" s="13" t="n">
        <v>0.6354166666666666</v>
      </c>
      <c r="F70" s="12">
        <f>ROUND((E70-D70)*1440,0)</f>
        <v/>
      </c>
      <c r="G70" s="12">
        <f>IF(AND(A70&gt;=_xlfn.XLOOKUP(B70,Members!$A$5:$A$16,Members!$E$5:$E$16),A70&lt;=_xlfn.XLOOKUP(B70,Members!$A$5:$A$16,Members!$F$5:$F$16)),"Yes","No")</f>
        <v/>
      </c>
    </row>
    <row r="71">
      <c r="A71" s="4" t="n">
        <v>46303</v>
      </c>
      <c r="B71" s="5" t="inlineStr">
        <is>
          <t>G10</t>
        </is>
      </c>
      <c r="C71" s="12">
        <f>_xlfn.XLOOKUP(B71,Members!$A$5:$A$16,Members!$B$5:$B$16,"Check ID")</f>
        <v/>
      </c>
      <c r="D71" s="13" t="n">
        <v>0.5</v>
      </c>
      <c r="E71" s="13" t="n">
        <v>0.5416666666666666</v>
      </c>
      <c r="F71" s="12">
        <f>ROUND((E71-D71)*1440,0)</f>
        <v/>
      </c>
      <c r="G71" s="12">
        <f>IF(AND(A71&gt;=_xlfn.XLOOKUP(B71,Members!$A$5:$A$16,Members!$E$5:$E$16),A71&lt;=_xlfn.XLOOKUP(B71,Members!$A$5:$A$16,Members!$F$5:$F$16)),"Yes","No")</f>
        <v/>
      </c>
    </row>
    <row r="72">
      <c r="A72" s="4" t="n">
        <v>46304</v>
      </c>
      <c r="B72" s="5" t="inlineStr">
        <is>
          <t>G02</t>
        </is>
      </c>
      <c r="C72" s="12">
        <f>_xlfn.XLOOKUP(B72,Members!$A$5:$A$16,Members!$B$5:$B$16,"Check ID")</f>
        <v/>
      </c>
      <c r="D72" s="13" t="n">
        <v>0.4583333333333333</v>
      </c>
      <c r="E72" s="13" t="n">
        <v>0.5104166666666666</v>
      </c>
      <c r="F72" s="12">
        <f>ROUND((E72-D72)*1440,0)</f>
        <v/>
      </c>
      <c r="G72" s="12">
        <f>IF(AND(A72&gt;=_xlfn.XLOOKUP(B72,Members!$A$5:$A$16,Members!$E$5:$E$16),A72&lt;=_xlfn.XLOOKUP(B72,Members!$A$5:$A$16,Members!$F$5:$F$16)),"Yes","No")</f>
        <v/>
      </c>
    </row>
    <row r="73">
      <c r="A73" s="4" t="n">
        <v>46304</v>
      </c>
      <c r="B73" s="5" t="inlineStr">
        <is>
          <t>G05</t>
        </is>
      </c>
      <c r="C73" s="12">
        <f>_xlfn.XLOOKUP(B73,Members!$A$5:$A$16,Members!$B$5:$B$16,"Check ID")</f>
        <v/>
      </c>
      <c r="D73" s="13" t="n">
        <v>0.4791666666666667</v>
      </c>
      <c r="E73" s="13" t="n">
        <v>0.5416666666666666</v>
      </c>
      <c r="F73" s="12">
        <f>ROUND((E73-D73)*1440,0)</f>
        <v/>
      </c>
      <c r="G73" s="12">
        <f>IF(AND(A73&gt;=_xlfn.XLOOKUP(B73,Members!$A$5:$A$16,Members!$E$5:$E$16),A73&lt;=_xlfn.XLOOKUP(B73,Members!$A$5:$A$16,Members!$F$5:$F$16)),"Yes","No")</f>
        <v/>
      </c>
    </row>
    <row r="74">
      <c r="A74" s="4" t="n">
        <v>46304</v>
      </c>
      <c r="B74" s="5" t="inlineStr">
        <is>
          <t>G06</t>
        </is>
      </c>
      <c r="C74" s="12">
        <f>_xlfn.XLOOKUP(B74,Members!$A$5:$A$16,Members!$B$5:$B$16,"Check ID")</f>
        <v/>
      </c>
      <c r="D74" s="13" t="n">
        <v>0.6041666666666666</v>
      </c>
      <c r="E74" s="13" t="n">
        <v>0.6458333333333334</v>
      </c>
      <c r="F74" s="12">
        <f>ROUND((E74-D74)*1440,0)</f>
        <v/>
      </c>
      <c r="G74" s="12">
        <f>IF(AND(A74&gt;=_xlfn.XLOOKUP(B74,Members!$A$5:$A$16,Members!$E$5:$E$16),A74&lt;=_xlfn.XLOOKUP(B74,Members!$A$5:$A$16,Members!$F$5:$F$16)),"Yes","No")</f>
        <v/>
      </c>
    </row>
    <row r="75">
      <c r="A75" s="4" t="n">
        <v>46304</v>
      </c>
      <c r="B75" s="5" t="inlineStr">
        <is>
          <t>G08</t>
        </is>
      </c>
      <c r="C75" s="12">
        <f>_xlfn.XLOOKUP(B75,Members!$A$5:$A$16,Members!$B$5:$B$16,"Check ID")</f>
        <v/>
      </c>
      <c r="D75" s="13" t="n">
        <v>0.625</v>
      </c>
      <c r="E75" s="13" t="n">
        <v>0.6666666666666666</v>
      </c>
      <c r="F75" s="12">
        <f>ROUND((E75-D75)*1440,0)</f>
        <v/>
      </c>
      <c r="G75" s="12">
        <f>IF(AND(A75&gt;=_xlfn.XLOOKUP(B75,Members!$A$5:$A$16,Members!$E$5:$E$16),A75&lt;=_xlfn.XLOOKUP(B75,Members!$A$5:$A$16,Members!$F$5:$F$16)),"Yes","No")</f>
        <v/>
      </c>
    </row>
    <row r="76">
      <c r="A76" s="4" t="n">
        <v>46305</v>
      </c>
      <c r="B76" s="5" t="inlineStr">
        <is>
          <t>G01</t>
        </is>
      </c>
      <c r="C76" s="12">
        <f>_xlfn.XLOOKUP(B76,Members!$A$5:$A$16,Members!$B$5:$B$16,"Check ID")</f>
        <v/>
      </c>
      <c r="D76" s="13" t="n">
        <v>0.625</v>
      </c>
      <c r="E76" s="13" t="n">
        <v>0.6666666666666666</v>
      </c>
      <c r="F76" s="12">
        <f>ROUND((E76-D76)*1440,0)</f>
        <v/>
      </c>
      <c r="G76" s="12">
        <f>IF(AND(A76&gt;=_xlfn.XLOOKUP(B76,Members!$A$5:$A$16,Members!$E$5:$E$16),A76&lt;=_xlfn.XLOOKUP(B76,Members!$A$5:$A$16,Members!$F$5:$F$16)),"Yes","No")</f>
        <v/>
      </c>
    </row>
    <row r="77">
      <c r="A77" s="4" t="n">
        <v>46305</v>
      </c>
      <c r="B77" s="5" t="inlineStr">
        <is>
          <t>G02</t>
        </is>
      </c>
      <c r="C77" s="12">
        <f>_xlfn.XLOOKUP(B77,Members!$A$5:$A$16,Members!$B$5:$B$16,"Check ID")</f>
        <v/>
      </c>
      <c r="D77" s="13" t="n">
        <v>0.5104166666666666</v>
      </c>
      <c r="E77" s="13" t="n">
        <v>0.5520833333333334</v>
      </c>
      <c r="F77" s="12">
        <f>ROUND((E77-D77)*1440,0)</f>
        <v/>
      </c>
      <c r="G77" s="12">
        <f>IF(AND(A77&gt;=_xlfn.XLOOKUP(B77,Members!$A$5:$A$16,Members!$E$5:$E$16),A77&lt;=_xlfn.XLOOKUP(B77,Members!$A$5:$A$16,Members!$F$5:$F$16)),"Yes","No")</f>
        <v/>
      </c>
    </row>
    <row r="78">
      <c r="A78" s="4" t="n">
        <v>46305</v>
      </c>
      <c r="B78" s="5" t="inlineStr">
        <is>
          <t>G03</t>
        </is>
      </c>
      <c r="C78" s="12">
        <f>_xlfn.XLOOKUP(B78,Members!$A$5:$A$16,Members!$B$5:$B$16,"Check ID")</f>
        <v/>
      </c>
      <c r="D78" s="13" t="n">
        <v>0.3854166666666667</v>
      </c>
      <c r="E78" s="13" t="n">
        <v>0.4270833333333333</v>
      </c>
      <c r="F78" s="12">
        <f>ROUND((E78-D78)*1440,0)</f>
        <v/>
      </c>
      <c r="G78" s="12">
        <f>IF(AND(A78&gt;=_xlfn.XLOOKUP(B78,Members!$A$5:$A$16,Members!$E$5:$E$16),A78&lt;=_xlfn.XLOOKUP(B78,Members!$A$5:$A$16,Members!$F$5:$F$16)),"Yes","No")</f>
        <v/>
      </c>
    </row>
    <row r="79">
      <c r="A79" s="4" t="n">
        <v>46305</v>
      </c>
      <c r="B79" s="5" t="inlineStr">
        <is>
          <t>G05</t>
        </is>
      </c>
      <c r="C79" s="12">
        <f>_xlfn.XLOOKUP(B79,Members!$A$5:$A$16,Members!$B$5:$B$16,"Check ID")</f>
        <v/>
      </c>
      <c r="D79" s="13" t="n">
        <v>0.7395833333333334</v>
      </c>
      <c r="E79" s="13" t="n">
        <v>0.78125</v>
      </c>
      <c r="F79" s="12">
        <f>ROUND((E79-D79)*1440,0)</f>
        <v/>
      </c>
      <c r="G79" s="12">
        <f>IF(AND(A79&gt;=_xlfn.XLOOKUP(B79,Members!$A$5:$A$16,Members!$E$5:$E$16),A79&lt;=_xlfn.XLOOKUP(B79,Members!$A$5:$A$16,Members!$F$5:$F$16)),"Yes","No")</f>
        <v/>
      </c>
    </row>
    <row r="80">
      <c r="A80" s="4" t="n">
        <v>46305</v>
      </c>
      <c r="B80" s="5" t="inlineStr">
        <is>
          <t>G09</t>
        </is>
      </c>
      <c r="C80" s="12">
        <f>_xlfn.XLOOKUP(B80,Members!$A$5:$A$16,Members!$B$5:$B$16,"Check ID")</f>
        <v/>
      </c>
      <c r="D80" s="13" t="n">
        <v>0.3854166666666667</v>
      </c>
      <c r="E80" s="13" t="n">
        <v>0.4479166666666667</v>
      </c>
      <c r="F80" s="12">
        <f>ROUND((E80-D80)*1440,0)</f>
        <v/>
      </c>
      <c r="G80" s="12">
        <f>IF(AND(A80&gt;=_xlfn.XLOOKUP(B80,Members!$A$5:$A$16,Members!$E$5:$E$16),A80&lt;=_xlfn.XLOOKUP(B80,Members!$A$5:$A$16,Members!$F$5:$F$16)),"Yes","No")</f>
        <v/>
      </c>
    </row>
    <row r="81">
      <c r="A81" s="4" t="n">
        <v>46306</v>
      </c>
      <c r="B81" s="5" t="inlineStr">
        <is>
          <t>G05</t>
        </is>
      </c>
      <c r="C81" s="12">
        <f>_xlfn.XLOOKUP(B81,Members!$A$5:$A$16,Members!$B$5:$B$16,"Check ID")</f>
        <v/>
      </c>
      <c r="D81" s="13" t="n">
        <v>0.6458333333333334</v>
      </c>
      <c r="E81" s="13" t="n">
        <v>0.6770833333333334</v>
      </c>
      <c r="F81" s="12">
        <f>ROUND((E81-D81)*1440,0)</f>
        <v/>
      </c>
      <c r="G81" s="12">
        <f>IF(AND(A81&gt;=_xlfn.XLOOKUP(B81,Members!$A$5:$A$16,Members!$E$5:$E$16),A81&lt;=_xlfn.XLOOKUP(B81,Members!$A$5:$A$16,Members!$F$5:$F$16)),"Yes","No")</f>
        <v/>
      </c>
    </row>
    <row r="82">
      <c r="A82" s="4" t="n">
        <v>46306</v>
      </c>
      <c r="B82" s="5" t="inlineStr">
        <is>
          <t>G12</t>
        </is>
      </c>
      <c r="C82" s="12">
        <f>_xlfn.XLOOKUP(B82,Members!$A$5:$A$16,Members!$B$5:$B$16,"Check ID")</f>
        <v/>
      </c>
      <c r="D82" s="13" t="n">
        <v>0.3020833333333333</v>
      </c>
      <c r="E82" s="13" t="n">
        <v>0.3541666666666667</v>
      </c>
      <c r="F82" s="12">
        <f>ROUND((E82-D82)*1440,0)</f>
        <v/>
      </c>
      <c r="G82" s="12">
        <f>IF(AND(A82&gt;=_xlfn.XLOOKUP(B82,Members!$A$5:$A$16,Members!$E$5:$E$16),A82&lt;=_xlfn.XLOOKUP(B82,Members!$A$5:$A$16,Members!$F$5:$F$16)),"Yes","No")</f>
        <v/>
      </c>
    </row>
    <row r="83">
      <c r="A83" s="4" t="n">
        <v>46307</v>
      </c>
      <c r="B83" s="5" t="inlineStr">
        <is>
          <t>G05</t>
        </is>
      </c>
      <c r="C83" s="12">
        <f>_xlfn.XLOOKUP(B83,Members!$A$5:$A$16,Members!$B$5:$B$16,"Check ID")</f>
        <v/>
      </c>
      <c r="D83" s="13" t="n">
        <v>0.6041666666666666</v>
      </c>
      <c r="E83" s="13" t="n">
        <v>0.6458333333333334</v>
      </c>
      <c r="F83" s="12">
        <f>ROUND((E83-D83)*1440,0)</f>
        <v/>
      </c>
      <c r="G83" s="12">
        <f>IF(AND(A83&gt;=_xlfn.XLOOKUP(B83,Members!$A$5:$A$16,Members!$E$5:$E$16),A83&lt;=_xlfn.XLOOKUP(B83,Members!$A$5:$A$16,Members!$F$5:$F$16)),"Yes","No")</f>
        <v/>
      </c>
    </row>
    <row r="84">
      <c r="A84" s="4" t="n">
        <v>46307</v>
      </c>
      <c r="B84" s="5" t="inlineStr">
        <is>
          <t>G06</t>
        </is>
      </c>
      <c r="C84" s="12">
        <f>_xlfn.XLOOKUP(B84,Members!$A$5:$A$16,Members!$B$5:$B$16,"Check ID")</f>
        <v/>
      </c>
      <c r="D84" s="13" t="n">
        <v>0.6666666666666666</v>
      </c>
      <c r="E84" s="13" t="n">
        <v>0.6979166666666666</v>
      </c>
      <c r="F84" s="12">
        <f>ROUND((E84-D84)*1440,0)</f>
        <v/>
      </c>
      <c r="G84" s="12">
        <f>IF(AND(A84&gt;=_xlfn.XLOOKUP(B84,Members!$A$5:$A$16,Members!$E$5:$E$16),A84&lt;=_xlfn.XLOOKUP(B84,Members!$A$5:$A$16,Members!$F$5:$F$16)),"Yes","No")</f>
        <v/>
      </c>
    </row>
    <row r="85">
      <c r="A85" s="4" t="n">
        <v>46307</v>
      </c>
      <c r="B85" s="5" t="inlineStr">
        <is>
          <t>G07</t>
        </is>
      </c>
      <c r="C85" s="12">
        <f>_xlfn.XLOOKUP(B85,Members!$A$5:$A$16,Members!$B$5:$B$16,"Check ID")</f>
        <v/>
      </c>
      <c r="D85" s="13" t="n">
        <v>0.25</v>
      </c>
      <c r="E85" s="13" t="n">
        <v>0.28125</v>
      </c>
      <c r="F85" s="12">
        <f>ROUND((E85-D85)*1440,0)</f>
        <v/>
      </c>
      <c r="G85" s="12">
        <f>IF(AND(A85&gt;=_xlfn.XLOOKUP(B85,Members!$A$5:$A$16,Members!$E$5:$E$16),A85&lt;=_xlfn.XLOOKUP(B85,Members!$A$5:$A$16,Members!$F$5:$F$16)),"Yes","No")</f>
        <v/>
      </c>
    </row>
    <row r="86">
      <c r="A86" s="4" t="n">
        <v>46307</v>
      </c>
      <c r="B86" s="5" t="inlineStr">
        <is>
          <t>G08</t>
        </is>
      </c>
      <c r="C86" s="12">
        <f>_xlfn.XLOOKUP(B86,Members!$A$5:$A$16,Members!$B$5:$B$16,"Check ID")</f>
        <v/>
      </c>
      <c r="D86" s="13" t="n">
        <v>0.34375</v>
      </c>
      <c r="E86" s="13" t="n">
        <v>0.375</v>
      </c>
      <c r="F86" s="12">
        <f>ROUND((E86-D86)*1440,0)</f>
        <v/>
      </c>
      <c r="G86" s="12">
        <f>IF(AND(A86&gt;=_xlfn.XLOOKUP(B86,Members!$A$5:$A$16,Members!$E$5:$E$16),A86&lt;=_xlfn.XLOOKUP(B86,Members!$A$5:$A$16,Members!$F$5:$F$16)),"Yes","No")</f>
        <v/>
      </c>
    </row>
    <row r="87">
      <c r="A87" s="4" t="n">
        <v>46307</v>
      </c>
      <c r="B87" s="5" t="inlineStr">
        <is>
          <t>G10</t>
        </is>
      </c>
      <c r="C87" s="12">
        <f>_xlfn.XLOOKUP(B87,Members!$A$5:$A$16,Members!$B$5:$B$16,"Check ID")</f>
        <v/>
      </c>
      <c r="D87" s="13" t="n">
        <v>0.53125</v>
      </c>
      <c r="E87" s="13" t="n">
        <v>0.5833333333333334</v>
      </c>
      <c r="F87" s="12">
        <f>ROUND((E87-D87)*1440,0)</f>
        <v/>
      </c>
      <c r="G87" s="12">
        <f>IF(AND(A87&gt;=_xlfn.XLOOKUP(B87,Members!$A$5:$A$16,Members!$E$5:$E$16),A87&lt;=_xlfn.XLOOKUP(B87,Members!$A$5:$A$16,Members!$F$5:$F$16)),"Yes","No")</f>
        <v/>
      </c>
    </row>
    <row r="88">
      <c r="A88" s="4" t="n">
        <v>46308</v>
      </c>
      <c r="B88" s="5" t="inlineStr">
        <is>
          <t>G01</t>
        </is>
      </c>
      <c r="C88" s="12">
        <f>_xlfn.XLOOKUP(B88,Members!$A$5:$A$16,Members!$B$5:$B$16,"Check ID")</f>
        <v/>
      </c>
      <c r="D88" s="13" t="n">
        <v>0.4270833333333333</v>
      </c>
      <c r="E88" s="13" t="n">
        <v>0.46875</v>
      </c>
      <c r="F88" s="12">
        <f>ROUND((E88-D88)*1440,0)</f>
        <v/>
      </c>
      <c r="G88" s="12">
        <f>IF(AND(A88&gt;=_xlfn.XLOOKUP(B88,Members!$A$5:$A$16,Members!$E$5:$E$16),A88&lt;=_xlfn.XLOOKUP(B88,Members!$A$5:$A$16,Members!$F$5:$F$16)),"Yes","No")</f>
        <v/>
      </c>
    </row>
    <row r="89">
      <c r="A89" s="4" t="n">
        <v>46308</v>
      </c>
      <c r="B89" s="5" t="inlineStr">
        <is>
          <t>G03</t>
        </is>
      </c>
      <c r="C89" s="12">
        <f>_xlfn.XLOOKUP(B89,Members!$A$5:$A$16,Members!$B$5:$B$16,"Check ID")</f>
        <v/>
      </c>
      <c r="D89" s="13" t="n">
        <v>0.3541666666666667</v>
      </c>
      <c r="E89" s="13" t="n">
        <v>0.40625</v>
      </c>
      <c r="F89" s="12">
        <f>ROUND((E89-D89)*1440,0)</f>
        <v/>
      </c>
      <c r="G89" s="12">
        <f>IF(AND(A89&gt;=_xlfn.XLOOKUP(B89,Members!$A$5:$A$16,Members!$E$5:$E$16),A89&lt;=_xlfn.XLOOKUP(B89,Members!$A$5:$A$16,Members!$F$5:$F$16)),"Yes","No")</f>
        <v/>
      </c>
    </row>
    <row r="90">
      <c r="A90" s="4" t="n">
        <v>46308</v>
      </c>
      <c r="B90" s="5" t="inlineStr">
        <is>
          <t>G07</t>
        </is>
      </c>
      <c r="C90" s="12">
        <f>_xlfn.XLOOKUP(B90,Members!$A$5:$A$16,Members!$B$5:$B$16,"Check ID")</f>
        <v/>
      </c>
      <c r="D90" s="13" t="n">
        <v>0.6979166666666666</v>
      </c>
      <c r="E90" s="13" t="n">
        <v>0.7604166666666666</v>
      </c>
      <c r="F90" s="12">
        <f>ROUND((E90-D90)*1440,0)</f>
        <v/>
      </c>
      <c r="G90" s="12">
        <f>IF(AND(A90&gt;=_xlfn.XLOOKUP(B90,Members!$A$5:$A$16,Members!$E$5:$E$16),A90&lt;=_xlfn.XLOOKUP(B90,Members!$A$5:$A$16,Members!$F$5:$F$16)),"Yes","No")</f>
        <v/>
      </c>
    </row>
    <row r="91">
      <c r="A91" s="4" t="n">
        <v>46309</v>
      </c>
      <c r="B91" s="5" t="inlineStr">
        <is>
          <t>G03</t>
        </is>
      </c>
      <c r="C91" s="12">
        <f>_xlfn.XLOOKUP(B91,Members!$A$5:$A$16,Members!$B$5:$B$16,"Check ID")</f>
        <v/>
      </c>
      <c r="D91" s="13" t="n">
        <v>0.59375</v>
      </c>
      <c r="E91" s="13" t="n">
        <v>0.6458333333333334</v>
      </c>
      <c r="F91" s="12">
        <f>ROUND((E91-D91)*1440,0)</f>
        <v/>
      </c>
      <c r="G91" s="12">
        <f>IF(AND(A91&gt;=_xlfn.XLOOKUP(B91,Members!$A$5:$A$16,Members!$E$5:$E$16),A91&lt;=_xlfn.XLOOKUP(B91,Members!$A$5:$A$16,Members!$F$5:$F$16)),"Yes","No")</f>
        <v/>
      </c>
    </row>
    <row r="92">
      <c r="A92" s="4" t="n">
        <v>46309</v>
      </c>
      <c r="B92" s="5" t="inlineStr">
        <is>
          <t>G05</t>
        </is>
      </c>
      <c r="C92" s="12">
        <f>_xlfn.XLOOKUP(B92,Members!$A$5:$A$16,Members!$B$5:$B$16,"Check ID")</f>
        <v/>
      </c>
      <c r="D92" s="13" t="n">
        <v>0.5104166666666666</v>
      </c>
      <c r="E92" s="13" t="n">
        <v>0.5625</v>
      </c>
      <c r="F92" s="12">
        <f>ROUND((E92-D92)*1440,0)</f>
        <v/>
      </c>
      <c r="G92" s="12">
        <f>IF(AND(A92&gt;=_xlfn.XLOOKUP(B92,Members!$A$5:$A$16,Members!$E$5:$E$16),A92&lt;=_xlfn.XLOOKUP(B92,Members!$A$5:$A$16,Members!$F$5:$F$16)),"Yes","No")</f>
        <v/>
      </c>
    </row>
    <row r="93">
      <c r="A93" s="4" t="n">
        <v>46309</v>
      </c>
      <c r="B93" s="5" t="inlineStr">
        <is>
          <t>G10</t>
        </is>
      </c>
      <c r="C93" s="12">
        <f>_xlfn.XLOOKUP(B93,Members!$A$5:$A$16,Members!$B$5:$B$16,"Check ID")</f>
        <v/>
      </c>
      <c r="D93" s="13" t="n">
        <v>0.7083333333333334</v>
      </c>
      <c r="E93" s="13" t="n">
        <v>0.7708333333333334</v>
      </c>
      <c r="F93" s="12">
        <f>ROUND((E93-D93)*1440,0)</f>
        <v/>
      </c>
      <c r="G93" s="12">
        <f>IF(AND(A93&gt;=_xlfn.XLOOKUP(B93,Members!$A$5:$A$16,Members!$E$5:$E$16),A93&lt;=_xlfn.XLOOKUP(B93,Members!$A$5:$A$16,Members!$F$5:$F$16)),"Yes","No")</f>
        <v/>
      </c>
    </row>
    <row r="94">
      <c r="A94" s="4" t="n">
        <v>46309</v>
      </c>
      <c r="B94" s="5" t="inlineStr">
        <is>
          <t>G12</t>
        </is>
      </c>
      <c r="C94" s="12">
        <f>_xlfn.XLOOKUP(B94,Members!$A$5:$A$16,Members!$B$5:$B$16,"Check ID")</f>
        <v/>
      </c>
      <c r="D94" s="13" t="n">
        <v>0.53125</v>
      </c>
      <c r="E94" s="13" t="n">
        <v>0.5833333333333334</v>
      </c>
      <c r="F94" s="12">
        <f>ROUND((E94-D94)*1440,0)</f>
        <v/>
      </c>
      <c r="G94" s="12">
        <f>IF(AND(A94&gt;=_xlfn.XLOOKUP(B94,Members!$A$5:$A$16,Members!$E$5:$E$16),A94&lt;=_xlfn.XLOOKUP(B94,Members!$A$5:$A$16,Members!$F$5:$F$16)),"Yes","No")</f>
        <v/>
      </c>
    </row>
    <row r="95">
      <c r="A95" s="4" t="n">
        <v>46310</v>
      </c>
      <c r="B95" s="5" t="inlineStr">
        <is>
          <t>G01</t>
        </is>
      </c>
      <c r="C95" s="12">
        <f>_xlfn.XLOOKUP(B95,Members!$A$5:$A$16,Members!$B$5:$B$16,"Check ID")</f>
        <v/>
      </c>
      <c r="D95" s="13" t="n">
        <v>0.3645833333333333</v>
      </c>
      <c r="E95" s="13" t="n">
        <v>0.40625</v>
      </c>
      <c r="F95" s="12">
        <f>ROUND((E95-D95)*1440,0)</f>
        <v/>
      </c>
      <c r="G95" s="12">
        <f>IF(AND(A95&gt;=_xlfn.XLOOKUP(B95,Members!$A$5:$A$16,Members!$E$5:$E$16),A95&lt;=_xlfn.XLOOKUP(B95,Members!$A$5:$A$16,Members!$F$5:$F$16)),"Yes","No")</f>
        <v/>
      </c>
    </row>
    <row r="96">
      <c r="A96" s="4" t="n">
        <v>46310</v>
      </c>
      <c r="B96" s="5" t="inlineStr">
        <is>
          <t>G05</t>
        </is>
      </c>
      <c r="C96" s="12">
        <f>_xlfn.XLOOKUP(B96,Members!$A$5:$A$16,Members!$B$5:$B$16,"Check ID")</f>
        <v/>
      </c>
      <c r="D96" s="13" t="n">
        <v>0.53125</v>
      </c>
      <c r="E96" s="13" t="n">
        <v>0.5729166666666666</v>
      </c>
      <c r="F96" s="12">
        <f>ROUND((E96-D96)*1440,0)</f>
        <v/>
      </c>
      <c r="G96" s="12">
        <f>IF(AND(A96&gt;=_xlfn.XLOOKUP(B96,Members!$A$5:$A$16,Members!$E$5:$E$16),A96&lt;=_xlfn.XLOOKUP(B96,Members!$A$5:$A$16,Members!$F$5:$F$16)),"Yes","No")</f>
        <v/>
      </c>
    </row>
    <row r="97">
      <c r="A97" s="4" t="n">
        <v>46310</v>
      </c>
      <c r="B97" s="5" t="inlineStr">
        <is>
          <t>G06</t>
        </is>
      </c>
      <c r="C97" s="12">
        <f>_xlfn.XLOOKUP(B97,Members!$A$5:$A$16,Members!$B$5:$B$16,"Check ID")</f>
        <v/>
      </c>
      <c r="D97" s="13" t="n">
        <v>0.40625</v>
      </c>
      <c r="E97" s="13" t="n">
        <v>0.4375</v>
      </c>
      <c r="F97" s="12">
        <f>ROUND((E97-D97)*1440,0)</f>
        <v/>
      </c>
      <c r="G97" s="12">
        <f>IF(AND(A97&gt;=_xlfn.XLOOKUP(B97,Members!$A$5:$A$16,Members!$E$5:$E$16),A97&lt;=_xlfn.XLOOKUP(B97,Members!$A$5:$A$16,Members!$F$5:$F$16)),"Yes","No")</f>
        <v/>
      </c>
    </row>
    <row r="98">
      <c r="A98" s="4" t="n">
        <v>46310</v>
      </c>
      <c r="B98" s="5" t="inlineStr">
        <is>
          <t>G08</t>
        </is>
      </c>
      <c r="C98" s="12">
        <f>_xlfn.XLOOKUP(B98,Members!$A$5:$A$16,Members!$B$5:$B$16,"Check ID")</f>
        <v/>
      </c>
      <c r="D98" s="13" t="n">
        <v>0.78125</v>
      </c>
      <c r="E98" s="13" t="n">
        <v>0.84375</v>
      </c>
      <c r="F98" s="12">
        <f>ROUND((E98-D98)*1440,0)</f>
        <v/>
      </c>
      <c r="G98" s="12">
        <f>IF(AND(A98&gt;=_xlfn.XLOOKUP(B98,Members!$A$5:$A$16,Members!$E$5:$E$16),A98&lt;=_xlfn.XLOOKUP(B98,Members!$A$5:$A$16,Members!$F$5:$F$16)),"Yes","No")</f>
        <v/>
      </c>
    </row>
    <row r="99">
      <c r="A99" s="4" t="n">
        <v>46310</v>
      </c>
      <c r="B99" s="5" t="inlineStr">
        <is>
          <t>G10</t>
        </is>
      </c>
      <c r="C99" s="12">
        <f>_xlfn.XLOOKUP(B99,Members!$A$5:$A$16,Members!$B$5:$B$16,"Check ID")</f>
        <v/>
      </c>
      <c r="D99" s="13" t="n">
        <v>0.2916666666666667</v>
      </c>
      <c r="E99" s="13" t="n">
        <v>0.3333333333333333</v>
      </c>
      <c r="F99" s="12">
        <f>ROUND((E99-D99)*1440,0)</f>
        <v/>
      </c>
      <c r="G99" s="12">
        <f>IF(AND(A99&gt;=_xlfn.XLOOKUP(B99,Members!$A$5:$A$16,Members!$E$5:$E$16),A99&lt;=_xlfn.XLOOKUP(B99,Members!$A$5:$A$16,Members!$F$5:$F$16)),"Yes","No")</f>
        <v/>
      </c>
    </row>
    <row r="100">
      <c r="A100" s="4" t="n">
        <v>46311</v>
      </c>
      <c r="B100" s="5" t="inlineStr">
        <is>
          <t>G01</t>
        </is>
      </c>
      <c r="C100" s="12">
        <f>_xlfn.XLOOKUP(B100,Members!$A$5:$A$16,Members!$B$5:$B$16,"Check ID")</f>
        <v/>
      </c>
      <c r="D100" s="13" t="n">
        <v>0.5625</v>
      </c>
      <c r="E100" s="13" t="n">
        <v>0.6145833333333334</v>
      </c>
      <c r="F100" s="12">
        <f>ROUND((E100-D100)*1440,0)</f>
        <v/>
      </c>
      <c r="G100" s="12">
        <f>IF(AND(A100&gt;=_xlfn.XLOOKUP(B100,Members!$A$5:$A$16,Members!$E$5:$E$16),A100&lt;=_xlfn.XLOOKUP(B100,Members!$A$5:$A$16,Members!$F$5:$F$16)),"Yes","No")</f>
        <v/>
      </c>
    </row>
    <row r="101">
      <c r="A101" s="4" t="n">
        <v>46311</v>
      </c>
      <c r="B101" s="5" t="inlineStr">
        <is>
          <t>G02</t>
        </is>
      </c>
      <c r="C101" s="12">
        <f>_xlfn.XLOOKUP(B101,Members!$A$5:$A$16,Members!$B$5:$B$16,"Check ID")</f>
        <v/>
      </c>
      <c r="D101" s="13" t="n">
        <v>0.78125</v>
      </c>
      <c r="E101" s="13" t="n">
        <v>0.8125</v>
      </c>
      <c r="F101" s="12">
        <f>ROUND((E101-D101)*1440,0)</f>
        <v/>
      </c>
      <c r="G101" s="12">
        <f>IF(AND(A101&gt;=_xlfn.XLOOKUP(B101,Members!$A$5:$A$16,Members!$E$5:$E$16),A101&lt;=_xlfn.XLOOKUP(B101,Members!$A$5:$A$16,Members!$F$5:$F$16)),"Yes","No")</f>
        <v/>
      </c>
    </row>
    <row r="102">
      <c r="A102" s="4" t="n">
        <v>46311</v>
      </c>
      <c r="B102" s="5" t="inlineStr">
        <is>
          <t>G05</t>
        </is>
      </c>
      <c r="C102" s="12">
        <f>_xlfn.XLOOKUP(B102,Members!$A$5:$A$16,Members!$B$5:$B$16,"Check ID")</f>
        <v/>
      </c>
      <c r="D102" s="13" t="n">
        <v>0.6354166666666666</v>
      </c>
      <c r="E102" s="13" t="n">
        <v>0.6875</v>
      </c>
      <c r="F102" s="12">
        <f>ROUND((E102-D102)*1440,0)</f>
        <v/>
      </c>
      <c r="G102" s="12">
        <f>IF(AND(A102&gt;=_xlfn.XLOOKUP(B102,Members!$A$5:$A$16,Members!$E$5:$E$16),A102&lt;=_xlfn.XLOOKUP(B102,Members!$A$5:$A$16,Members!$F$5:$F$16)),"Yes","No")</f>
        <v/>
      </c>
    </row>
    <row r="103">
      <c r="A103" s="4" t="n">
        <v>46311</v>
      </c>
      <c r="B103" s="5" t="inlineStr">
        <is>
          <t>G08</t>
        </is>
      </c>
      <c r="C103" s="12">
        <f>_xlfn.XLOOKUP(B103,Members!$A$5:$A$16,Members!$B$5:$B$16,"Check ID")</f>
        <v/>
      </c>
      <c r="D103" s="13" t="n">
        <v>0.2916666666666667</v>
      </c>
      <c r="E103" s="13" t="n">
        <v>0.34375</v>
      </c>
      <c r="F103" s="12">
        <f>ROUND((E103-D103)*1440,0)</f>
        <v/>
      </c>
      <c r="G103" s="12">
        <f>IF(AND(A103&gt;=_xlfn.XLOOKUP(B103,Members!$A$5:$A$16,Members!$E$5:$E$16),A103&lt;=_xlfn.XLOOKUP(B103,Members!$A$5:$A$16,Members!$F$5:$F$16)),"Yes","No")</f>
        <v/>
      </c>
    </row>
    <row r="104">
      <c r="A104" s="4" t="n">
        <v>46312</v>
      </c>
      <c r="B104" s="5" t="inlineStr">
        <is>
          <t>G01</t>
        </is>
      </c>
      <c r="C104" s="12">
        <f>_xlfn.XLOOKUP(B104,Members!$A$5:$A$16,Members!$B$5:$B$16,"Check ID")</f>
        <v/>
      </c>
      <c r="D104" s="13" t="n">
        <v>0.7708333333333334</v>
      </c>
      <c r="E104" s="13" t="n">
        <v>0.8229166666666666</v>
      </c>
      <c r="F104" s="12">
        <f>ROUND((E104-D104)*1440,0)</f>
        <v/>
      </c>
      <c r="G104" s="12">
        <f>IF(AND(A104&gt;=_xlfn.XLOOKUP(B104,Members!$A$5:$A$16,Members!$E$5:$E$16),A104&lt;=_xlfn.XLOOKUP(B104,Members!$A$5:$A$16,Members!$F$5:$F$16)),"Yes","No")</f>
        <v/>
      </c>
    </row>
    <row r="105">
      <c r="A105" s="4" t="n">
        <v>46312</v>
      </c>
      <c r="B105" s="5" t="inlineStr">
        <is>
          <t>G05</t>
        </is>
      </c>
      <c r="C105" s="12">
        <f>_xlfn.XLOOKUP(B105,Members!$A$5:$A$16,Members!$B$5:$B$16,"Check ID")</f>
        <v/>
      </c>
      <c r="D105" s="13" t="n">
        <v>0.625</v>
      </c>
      <c r="E105" s="13" t="n">
        <v>0.6666666666666666</v>
      </c>
      <c r="F105" s="12">
        <f>ROUND((E105-D105)*1440,0)</f>
        <v/>
      </c>
      <c r="G105" s="12">
        <f>IF(AND(A105&gt;=_xlfn.XLOOKUP(B105,Members!$A$5:$A$16,Members!$E$5:$E$16),A105&lt;=_xlfn.XLOOKUP(B105,Members!$A$5:$A$16,Members!$F$5:$F$16)),"Yes","No")</f>
        <v/>
      </c>
    </row>
    <row r="106">
      <c r="A106" s="4" t="n">
        <v>46312</v>
      </c>
      <c r="B106" s="5" t="inlineStr">
        <is>
          <t>G08</t>
        </is>
      </c>
      <c r="C106" s="12">
        <f>_xlfn.XLOOKUP(B106,Members!$A$5:$A$16,Members!$B$5:$B$16,"Check ID")</f>
        <v/>
      </c>
      <c r="D106" s="13" t="n">
        <v>0.5</v>
      </c>
      <c r="E106" s="13" t="n">
        <v>0.5520833333333334</v>
      </c>
      <c r="F106" s="12">
        <f>ROUND((E106-D106)*1440,0)</f>
        <v/>
      </c>
      <c r="G106" s="12">
        <f>IF(AND(A106&gt;=_xlfn.XLOOKUP(B106,Members!$A$5:$A$16,Members!$E$5:$E$16),A106&lt;=_xlfn.XLOOKUP(B106,Members!$A$5:$A$16,Members!$F$5:$F$16)),"Yes","No")</f>
        <v/>
      </c>
    </row>
    <row r="107">
      <c r="A107" s="4" t="n">
        <v>46312</v>
      </c>
      <c r="B107" s="5" t="inlineStr">
        <is>
          <t>G10</t>
        </is>
      </c>
      <c r="C107" s="12">
        <f>_xlfn.XLOOKUP(B107,Members!$A$5:$A$16,Members!$B$5:$B$16,"Check ID")</f>
        <v/>
      </c>
      <c r="D107" s="13" t="n">
        <v>0.5104166666666666</v>
      </c>
      <c r="E107" s="13" t="n">
        <v>0.5625</v>
      </c>
      <c r="F107" s="12">
        <f>ROUND((E107-D107)*1440,0)</f>
        <v/>
      </c>
      <c r="G107" s="12">
        <f>IF(AND(A107&gt;=_xlfn.XLOOKUP(B107,Members!$A$5:$A$16,Members!$E$5:$E$16),A107&lt;=_xlfn.XLOOKUP(B107,Members!$A$5:$A$16,Members!$F$5:$F$16)),"Yes","No")</f>
        <v/>
      </c>
    </row>
  </sheetData>
  <conditionalFormatting sqref="G5:G600">
    <cfRule type="cellIs" priority="1" operator="equal" dxfId="0">
      <formula>"No"</formula>
    </cfRule>
  </conditionalFormatting>
  <dataValidations count="1">
    <dataValidation sqref="B5:B600" showDropDown="0" showInputMessage="0" showErrorMessage="1" allowBlank="1" errorTitle="Not in the list" error="Pick a value from the list" type="list">
      <formula1>=Members!$A$5:$A$100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8" customWidth="1" min="3" max="3"/>
    <col width="22" customWidth="1" min="4" max="4"/>
  </cols>
  <sheetData>
    <row r="1">
      <c r="A1" s="1" t="inlineStr">
        <is>
          <t>Membership receipt</t>
        </is>
      </c>
    </row>
    <row r="2">
      <c r="A2" s="2" t="inlineStr">
        <is>
          <t>Pick a member ID in B4; print A1:D16.</t>
        </is>
      </c>
    </row>
    <row r="4">
      <c r="A4" s="3" t="inlineStr">
        <is>
          <t>Member ID</t>
        </is>
      </c>
      <c r="B4" s="5" t="inlineStr">
        <is>
          <t>G10</t>
        </is>
      </c>
      <c r="C4" s="3" t="inlineStr">
        <is>
          <t>Gym</t>
        </is>
      </c>
      <c r="D4" s="12">
        <f>Setup!B4</f>
        <v/>
      </c>
    </row>
    <row r="6">
      <c r="A6" s="3" t="inlineStr">
        <is>
          <t>Name</t>
        </is>
      </c>
      <c r="B6" s="12">
        <f>_xlfn.XLOOKUP($B$4,Members!$A$5:$A$16,Members!$B$5:$B$16)</f>
        <v/>
      </c>
    </row>
    <row r="7">
      <c r="A7" s="3" t="inlineStr">
        <is>
          <t>Plan</t>
        </is>
      </c>
      <c r="B7" s="12">
        <f>_xlfn.XLOOKUP($B$4,Members!$A$5:$A$16,Members!$C$5:$C$16)</f>
        <v/>
      </c>
    </row>
    <row r="8">
      <c r="A8" s="3" t="inlineStr">
        <is>
          <t>Trainer</t>
        </is>
      </c>
      <c r="B8" s="12">
        <f>_xlfn.XLOOKUP($B$4,Members!$A$5:$A$16,Members!$D$5:$D$16)</f>
        <v/>
      </c>
    </row>
    <row r="9">
      <c r="A9" s="3" t="inlineStr">
        <is>
          <t>Valid from</t>
        </is>
      </c>
      <c r="B9" s="10">
        <f>_xlfn.XLOOKUP($B$4,Members!$A$5:$A$16,Members!$E$5:$E$16)</f>
        <v/>
      </c>
    </row>
    <row r="10">
      <c r="A10" s="3" t="inlineStr">
        <is>
          <t>Valid till</t>
        </is>
      </c>
      <c r="B10" s="10">
        <f>_xlfn.XLOOKUP($B$4,Members!$A$5:$A$16,Members!$F$5:$F$16)</f>
        <v/>
      </c>
    </row>
    <row r="11">
      <c r="A11" s="3" t="inlineStr">
        <is>
          <t>Plan fee</t>
        </is>
      </c>
      <c r="B11" s="11">
        <f>_xlfn.XLOOKUP($B$4,Members!$A$5:$A$16,Members!$G$5:$G$16)</f>
        <v/>
      </c>
    </row>
    <row r="12">
      <c r="A12" s="3" t="inlineStr">
        <is>
          <t>Discount</t>
        </is>
      </c>
      <c r="B12" s="11">
        <f>_xlfn.XLOOKUP($B$4,Members!$A$5:$A$16,Members!$H$5:$H$16)</f>
        <v/>
      </c>
    </row>
    <row r="13">
      <c r="A13" s="3" t="inlineStr">
        <is>
          <t>Paid</t>
        </is>
      </c>
      <c r="B13" s="11">
        <f>_xlfn.XLOOKUP($B$4,Members!$A$5:$A$16,Members!$I$5:$I$16)</f>
        <v/>
      </c>
    </row>
    <row r="14">
      <c r="A14" s="3" t="inlineStr">
        <is>
          <t>Balance due</t>
        </is>
      </c>
      <c r="B14" s="11">
        <f>_xlfn.XLOOKUP($B$4,Members!$A$5:$A$16,Members!$J$5:$J$16)</f>
        <v/>
      </c>
    </row>
    <row r="16">
      <c r="A16" s="2" t="inlineStr">
        <is>
          <t>Thank you. Keep this receipt for renewal.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=Members!$A$5:$A$100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6" customWidth="1" min="4" max="4"/>
    <col width="13" customWidth="1" min="5" max="5"/>
    <col width="12" customWidth="1" min="6" max="6"/>
  </cols>
  <sheetData>
    <row r="1">
      <c r="A1" s="1" t="inlineStr">
        <is>
          <t>Plan and trainer report</t>
        </is>
      </c>
    </row>
    <row r="2">
      <c r="A2" s="2" t="inlineStr">
        <is>
          <t>COUNTIFS and SUMIFS over Members and Check-ins.</t>
        </is>
      </c>
    </row>
    <row r="4">
      <c r="A4" s="6" t="inlineStr">
        <is>
          <t>Plan</t>
        </is>
      </c>
      <c r="B4" s="6" t="inlineStr">
        <is>
          <t>Members</t>
        </is>
      </c>
      <c r="C4" s="6" t="inlineStr">
        <is>
          <t>Active or expiring</t>
        </is>
      </c>
      <c r="D4" s="6" t="inlineStr">
        <is>
          <t>Fees billed (₹)</t>
        </is>
      </c>
      <c r="E4" s="6" t="inlineStr">
        <is>
          <t>Collected (₹)</t>
        </is>
      </c>
      <c r="F4" s="6" t="inlineStr">
        <is>
          <t>Balance (₹)</t>
        </is>
      </c>
    </row>
    <row r="5">
      <c r="A5" s="12">
        <f>Setup!A8</f>
        <v/>
      </c>
      <c r="B5" s="12">
        <f>COUNTIF(Members!$C$5:$C$16,A5)</f>
        <v/>
      </c>
      <c r="C5" s="12">
        <f>COUNTIFS(Members!$C$5:$C$16,A5,Members!$L$5:$L$16,"&lt;&gt;Expired")</f>
        <v/>
      </c>
      <c r="D5" s="11">
        <f>SUMIFS(Members!$G$5:$G$16,Members!$C$5:$C$16,A5)-SUMIFS(Members!$H$5:$H$16,Members!$C$5:$C$16,A5)</f>
        <v/>
      </c>
      <c r="E5" s="11">
        <f>SUMIFS(Members!$I$5:$I$16,Members!$C$5:$C$16,A5)</f>
        <v/>
      </c>
      <c r="F5" s="11">
        <f>D5-E5</f>
        <v/>
      </c>
    </row>
    <row r="6">
      <c r="A6" s="12">
        <f>Setup!A9</f>
        <v/>
      </c>
      <c r="B6" s="12">
        <f>COUNTIF(Members!$C$5:$C$16,A6)</f>
        <v/>
      </c>
      <c r="C6" s="12">
        <f>COUNTIFS(Members!$C$5:$C$16,A6,Members!$L$5:$L$16,"&lt;&gt;Expired")</f>
        <v/>
      </c>
      <c r="D6" s="11">
        <f>SUMIFS(Members!$G$5:$G$16,Members!$C$5:$C$16,A6)-SUMIFS(Members!$H$5:$H$16,Members!$C$5:$C$16,A6)</f>
        <v/>
      </c>
      <c r="E6" s="11">
        <f>SUMIFS(Members!$I$5:$I$16,Members!$C$5:$C$16,A6)</f>
        <v/>
      </c>
      <c r="F6" s="11">
        <f>D6-E6</f>
        <v/>
      </c>
    </row>
    <row r="7">
      <c r="A7" s="12">
        <f>Setup!A10</f>
        <v/>
      </c>
      <c r="B7" s="12">
        <f>COUNTIF(Members!$C$5:$C$16,A7)</f>
        <v/>
      </c>
      <c r="C7" s="12">
        <f>COUNTIFS(Members!$C$5:$C$16,A7,Members!$L$5:$L$16,"&lt;&gt;Expired")</f>
        <v/>
      </c>
      <c r="D7" s="11">
        <f>SUMIFS(Members!$G$5:$G$16,Members!$C$5:$C$16,A7)-SUMIFS(Members!$H$5:$H$16,Members!$C$5:$C$16,A7)</f>
        <v/>
      </c>
      <c r="E7" s="11">
        <f>SUMIFS(Members!$I$5:$I$16,Members!$C$5:$C$16,A7)</f>
        <v/>
      </c>
      <c r="F7" s="11">
        <f>D7-E7</f>
        <v/>
      </c>
    </row>
    <row r="8">
      <c r="A8" s="12">
        <f>Setup!A11</f>
        <v/>
      </c>
      <c r="B8" s="12">
        <f>COUNTIF(Members!$C$5:$C$16,A8)</f>
        <v/>
      </c>
      <c r="C8" s="12">
        <f>COUNTIFS(Members!$C$5:$C$16,A8,Members!$L$5:$L$16,"&lt;&gt;Expired")</f>
        <v/>
      </c>
      <c r="D8" s="11">
        <f>SUMIFS(Members!$G$5:$G$16,Members!$C$5:$C$16,A8)-SUMIFS(Members!$H$5:$H$16,Members!$C$5:$C$16,A8)</f>
        <v/>
      </c>
      <c r="E8" s="11">
        <f>SUMIFS(Members!$I$5:$I$16,Members!$C$5:$C$16,A8)</f>
        <v/>
      </c>
      <c r="F8" s="11">
        <f>D8-E8</f>
        <v/>
      </c>
    </row>
    <row r="10">
      <c r="A10" s="6" t="inlineStr">
        <is>
          <t>Trainer</t>
        </is>
      </c>
      <c r="B10" s="6" t="inlineStr">
        <is>
          <t>Members</t>
        </is>
      </c>
      <c r="C10" s="6" t="inlineStr">
        <is>
          <t>Active or expiring</t>
        </is>
      </c>
      <c r="D10" s="6" t="inlineStr">
        <is>
          <t>Check-ins (30 days)</t>
        </is>
      </c>
    </row>
    <row r="11">
      <c r="A11" s="12">
        <f>Setup!F8</f>
        <v/>
      </c>
      <c r="B11" s="12">
        <f>COUNTIF(Members!$D$5:$D$16,A11)</f>
        <v/>
      </c>
      <c r="C11" s="12">
        <f>COUNTIFS(Members!$D$5:$D$16,A11,Members!$L$5:$L$16,"&lt;&gt;Expired")</f>
        <v/>
      </c>
      <c r="D11" s="12">
        <f>SUMIFS(Members!$M$5:$M$16,Members!$D$5:$D$16,A11)</f>
        <v/>
      </c>
    </row>
    <row r="12">
      <c r="A12" s="12">
        <f>Setup!F9</f>
        <v/>
      </c>
      <c r="B12" s="12">
        <f>COUNTIF(Members!$D$5:$D$16,A12)</f>
        <v/>
      </c>
      <c r="C12" s="12">
        <f>COUNTIFS(Members!$D$5:$D$16,A12,Members!$L$5:$L$16,"&lt;&gt;Expired")</f>
        <v/>
      </c>
      <c r="D12" s="12">
        <f>SUMIFS(Members!$M$5:$M$16,Members!$D$5:$D$16,A12)</f>
        <v/>
      </c>
    </row>
    <row r="13">
      <c r="A13" s="12">
        <f>Setup!F10</f>
        <v/>
      </c>
      <c r="B13" s="12">
        <f>COUNTIF(Members!$D$5:$D$16,A13)</f>
        <v/>
      </c>
      <c r="C13" s="12">
        <f>COUNTIFS(Members!$D$5:$D$16,A13,Members!$L$5:$L$16,"&lt;&gt;Expired")</f>
        <v/>
      </c>
      <c r="D13" s="12">
        <f>SUMIFS(Members!$M$5:$M$16,Members!$D$5:$D$16,A13)</f>
        <v/>
      </c>
    </row>
    <row r="15">
      <c r="A15" s="6" t="inlineStr">
        <is>
          <t>Date</t>
        </is>
      </c>
      <c r="B15" s="6" t="inlineStr">
        <is>
          <t>Check-ins</t>
        </is>
      </c>
    </row>
    <row r="16">
      <c r="A16" s="10">
        <f>Setup!$B$3-6</f>
        <v/>
      </c>
      <c r="B16" s="12">
        <f>COUNTIF('Check-ins'!$A$5:$A$600,A16)</f>
        <v/>
      </c>
    </row>
    <row r="17">
      <c r="A17" s="10">
        <f>Setup!$B$3-5</f>
        <v/>
      </c>
      <c r="B17" s="12">
        <f>COUNTIF('Check-ins'!$A$5:$A$600,A17)</f>
        <v/>
      </c>
    </row>
    <row r="18">
      <c r="A18" s="10">
        <f>Setup!$B$3-4</f>
        <v/>
      </c>
      <c r="B18" s="12">
        <f>COUNTIF('Check-ins'!$A$5:$A$600,A18)</f>
        <v/>
      </c>
    </row>
    <row r="19">
      <c r="A19" s="10">
        <f>Setup!$B$3-3</f>
        <v/>
      </c>
      <c r="B19" s="12">
        <f>COUNTIF('Check-ins'!$A$5:$A$600,A19)</f>
        <v/>
      </c>
    </row>
    <row r="20">
      <c r="A20" s="10">
        <f>Setup!$B$3-2</f>
        <v/>
      </c>
      <c r="B20" s="12">
        <f>COUNTIF('Check-ins'!$A$5:$A$600,A20)</f>
        <v/>
      </c>
    </row>
    <row r="21">
      <c r="A21" s="10">
        <f>Setup!$B$3-1</f>
        <v/>
      </c>
      <c r="B21" s="12">
        <f>COUNTIF('Check-ins'!$A$5:$A$600,A21)</f>
        <v/>
      </c>
    </row>
    <row r="22">
      <c r="A22" s="10">
        <f>Setup!$B$3-0</f>
        <v/>
      </c>
      <c r="B22" s="12">
        <f>COUNTIF('Check-ins'!$A$5:$A$600,A22)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Gym dashboard as of 17 October 2026</t>
        </is>
      </c>
    </row>
    <row r="2">
      <c r="A2" s="2" t="inlineStr">
        <is>
          <t>Formulas over Members, Check-ins and Report.</t>
        </is>
      </c>
    </row>
    <row r="4" ht="32" customHeight="1">
      <c r="A4" s="6" t="inlineStr">
        <is>
          <t>Active members</t>
        </is>
      </c>
      <c r="B4" s="6" t="inlineStr">
        <is>
          <t>Renewals due (7 days)</t>
        </is>
      </c>
      <c r="C4" s="6" t="inlineStr">
        <is>
          <t>Expired (call back)</t>
        </is>
      </c>
      <c r="D4" s="6" t="inlineStr">
        <is>
          <t>Fees collected</t>
        </is>
      </c>
      <c r="E4" s="6" t="inlineStr">
        <is>
          <t>Balance due</t>
        </is>
      </c>
      <c r="F4" s="6" t="inlineStr">
        <is>
          <t>Visits per active member (30 days)</t>
        </is>
      </c>
    </row>
    <row r="5" ht="30" customHeight="1">
      <c r="A5" s="14">
        <f>COUNTIF(Members!$L$5:$L$16,"Active")</f>
        <v/>
      </c>
      <c r="B5" s="14">
        <f>COUNTIF(Members!$L$5:$L$16,"Expiring")</f>
        <v/>
      </c>
      <c r="C5" s="14">
        <f>COUNTIF(Members!$L$5:$L$16,"Expired")</f>
        <v/>
      </c>
      <c r="D5" s="15">
        <f>SUM(Members!$I$5:$I$16)</f>
        <v/>
      </c>
      <c r="E5" s="15">
        <f>SUM(Members!$J$5:$J$16)</f>
        <v/>
      </c>
      <c r="F5" s="14">
        <f>ROUND(SUMIFS(Members!$M$5:$M$16,Members!$L$5:$L$16,"&lt;&gt;Expired")/COUNTIF(Members!$L$5:$L$16,"&lt;&gt;Expired"),1)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