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up" sheetId="2" state="visible" r:id="rId2"/>
    <sheet xmlns:r="http://schemas.openxmlformats.org/officeDocument/2006/relationships" name="Attendance" sheetId="3" state="visible" r:id="rId3"/>
    <sheet xmlns:r="http://schemas.openxmlformats.org/officeDocument/2006/relationships" name="Late log" sheetId="4" state="visible" r:id="rId4"/>
    <sheet xmlns:r="http://schemas.openxmlformats.org/officeDocument/2006/relationships" name="Leave" sheetId="5" state="visible" r:id="rId5"/>
    <sheet xmlns:r="http://schemas.openxmlformats.org/officeDocument/2006/relationships" name="Report" sheetId="6" state="visible" r:id="rId6"/>
    <sheet xmlns:r="http://schemas.openxmlformats.org/officeDocument/2006/relationships" name="Dashboard" sheetId="7" state="visible" r:id="rId7"/>
  </sheets>
  <definedNames/>
  <calcPr calcId="124519" fullCalcOnLoad="1"/>
</workbook>
</file>

<file path=xl/styles.xml><?xml version="1.0" encoding="utf-8"?>
<styleSheet xmlns="http://schemas.openxmlformats.org/spreadsheetml/2006/main">
  <numFmts count="5">
    <numFmt numFmtId="164" formatCode="yyyy-mm-dd h:mm:ss"/>
    <numFmt numFmtId="165" formatCode="DD-MM-YYYY"/>
    <numFmt numFmtId="166" formatCode="hh:mm"/>
    <numFmt numFmtId="167" formatCode="dd"/>
    <numFmt numFmtId="168" formatCode="0.0%"/>
  </numFmts>
  <fonts count="5">
    <font>
      <name val="Calibri"/>
      <family val="2"/>
      <color theme="1"/>
      <sz val="11"/>
      <scheme val="minor"/>
    </font>
    <font>
      <b val="1"/>
      <color rgb="000B1F33"/>
      <sz val="14"/>
    </font>
    <font>
      <i val="1"/>
      <color rgb="00475569"/>
    </font>
    <font>
      <b val="1"/>
    </font>
    <font>
      <b val="1"/>
      <color rgb="000B1F33"/>
      <sz val="16"/>
    </font>
  </fonts>
  <fills count="6">
    <fill>
      <patternFill/>
    </fill>
    <fill>
      <patternFill patternType="gray125"/>
    </fill>
    <fill>
      <patternFill patternType="solid">
        <fgColor rgb="00FFF4CC"/>
      </patternFill>
    </fill>
    <fill>
      <patternFill patternType="solid">
        <fgColor rgb="00E7F0FA"/>
      </patternFill>
    </fill>
    <fill>
      <patternFill patternType="solid">
        <fgColor rgb="00EAF6EE"/>
      </patternFill>
    </fill>
    <fill>
      <patternFill patternType="solid">
        <fgColor rgb="00DCE9F5"/>
      </patternFill>
    </fill>
  </fills>
  <borders count="2">
    <border>
      <left/>
      <right/>
      <top/>
      <bottom/>
      <diagonal/>
    </border>
    <border>
      <left style="thin">
        <color rgb="00C8C8C8"/>
      </left>
      <right style="thin">
        <color rgb="00C8C8C8"/>
      </right>
      <top style="thin">
        <color rgb="00C8C8C8"/>
      </top>
      <bottom style="thin">
        <color rgb="00C8C8C8"/>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165" fontId="0" fillId="2" borderId="1" pivotButton="0" quotePrefix="0" xfId="0"/>
    <xf numFmtId="166" fontId="0" fillId="2" borderId="1" pivotButton="0" quotePrefix="0" xfId="0"/>
    <xf numFmtId="0" fontId="0" fillId="2" borderId="1" pivotButton="0" quotePrefix="0" xfId="0"/>
    <xf numFmtId="0" fontId="3" fillId="3" borderId="1" applyAlignment="1" pivotButton="0" quotePrefix="0" xfId="0">
      <alignment vertical="top" wrapText="1"/>
    </xf>
    <xf numFmtId="0" fontId="3" fillId="3" borderId="1" pivotButton="0" quotePrefix="0" xfId="0"/>
    <xf numFmtId="0" fontId="0" fillId="0" borderId="1" pivotButton="0" quotePrefix="0" xfId="0"/>
    <xf numFmtId="167" fontId="3" fillId="3" borderId="1" pivotButton="0" quotePrefix="0" xfId="0"/>
    <xf numFmtId="0" fontId="0" fillId="4" borderId="1" pivotButton="0" quotePrefix="0" xfId="0"/>
    <xf numFmtId="168" fontId="0" fillId="4" borderId="1" pivotButton="0" quotePrefix="0" xfId="0"/>
    <xf numFmtId="0" fontId="3" fillId="4" borderId="1" pivotButton="0" quotePrefix="0" xfId="0"/>
    <xf numFmtId="0" fontId="3" fillId="5" borderId="1" pivotButton="0" quotePrefix="0" xfId="0"/>
    <xf numFmtId="0" fontId="4" fillId="4" borderId="1" applyAlignment="1" pivotButton="0" quotePrefix="0" xfId="0">
      <alignment horizontal="center"/>
    </xf>
    <xf numFmtId="168" fontId="4" fillId="4" borderId="1" applyAlignment="1" pivotButton="0" quotePrefix="0" xfId="0">
      <alignment horizontal="center"/>
    </xf>
  </cellXfs>
  <cellStyles count="1">
    <cellStyle name="Normal" xfId="0" builtinId="0" hidden="0"/>
  </cellStyles>
  <dxfs count="4">
    <dxf>
      <fill>
        <patternFill patternType="solid">
          <fgColor rgb="00FDECEC"/>
        </patternFill>
      </fill>
    </dxf>
    <dxf>
      <fill>
        <patternFill patternType="solid">
          <fgColor rgb="00FFE8B3"/>
        </patternFill>
      </fill>
    </dxf>
    <dxf>
      <fill>
        <patternFill patternType="solid">
          <fgColor rgb="00EEEEEE"/>
        </patternFill>
      </fill>
    </dxf>
    <dxf>
      <fill>
        <patternFill patternType="solid">
          <fgColor rgb="00FFF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Attendance % by employee</a:t>
            </a:r>
          </a:p>
        </rich>
      </tx>
    </title>
    <plotArea>
      <barChart>
        <barDir val="col"/>
        <grouping val="clustered"/>
        <ser>
          <idx val="0"/>
          <order val="0"/>
          <spPr>
            <a:ln xmlns:a="http://schemas.openxmlformats.org/drawingml/2006/main">
              <a:prstDash val="solid"/>
            </a:ln>
          </spPr>
          <cat>
            <numRef>
              <f>'Attendance'!$B$6:$B$13</f>
            </numRef>
          </cat>
          <val>
            <numRef>
              <f>'Attendance'!$AP$6:$AP$13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Absent days by department</a:t>
            </a:r>
          </a:p>
        </rich>
      </tx>
    </title>
    <plotArea>
      <barChart>
        <barDir val="col"/>
        <grouping val="clustered"/>
        <ser>
          <idx val="0"/>
          <order val="0"/>
          <spPr>
            <a:ln xmlns:a="http://schemas.openxmlformats.org/drawingml/2006/main">
              <a:prstDash val="solid"/>
            </a:ln>
          </spPr>
          <cat>
            <numRef>
              <f>'Report'!$A$5:$A$8</f>
            </numRef>
          </cat>
          <val>
            <numRef>
              <f>'Report'!$D$5:$D$8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7</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24</row>
      <rowOff>0</rowOff>
    </from>
    <ext cx="468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Employee attendance management system</t>
        </is>
      </c>
    </row>
    <row r="3">
      <c r="A3" t="inlineStr">
        <is>
          <t>Made-up data: every name, amount, shop and date in this file is made up for practice. Replace it with your own.</t>
        </is>
      </c>
    </row>
    <row r="4">
      <c r="A4" t="inlineStr">
        <is>
          <t>Yellow cells are inputs: type over them. Green cells hold formulas: do not type over them. Blue rows are headers and totals.</t>
        </is>
      </c>
    </row>
    <row r="5">
      <c r="A5" t="inlineStr">
        <is>
          <t>From ravindrabagale.com, Excel course, Excel Business Management Systems. By Ravindra Bagale.</t>
        </is>
      </c>
    </row>
    <row r="6">
      <c r="A6" t="inlineStr"/>
    </row>
    <row r="7">
      <c r="A7" t="inlineStr">
        <is>
          <t>Sheets: Setup (month, shift time, employees, lists), Attendance (one code per day), Late log, Leave, Report, Dashboard.</t>
        </is>
      </c>
    </row>
    <row r="8">
      <c r="A8" t="inlineStr">
        <is>
          <t>Each month: change Setup B3 to the first day of the month, clear the codes in Attendance and the Late log, and type the new month. Update leave balances in Setup column E.</t>
        </is>
      </c>
    </row>
    <row r="9">
      <c r="A9" t="inlineStr">
        <is>
          <t>The "3 late marks = half day cut" rule is an example. Change the formula in the Late cut column to your own company rule.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16" customWidth="1" min="1" max="1"/>
    <col width="18" customWidth="1" min="2" max="2"/>
    <col width="13" customWidth="1" min="3" max="3"/>
    <col width="18" customWidth="1" min="4" max="4"/>
    <col width="14" customWidth="1" min="5" max="5"/>
    <col width="13" customWidth="1" min="8" max="8"/>
    <col width="8" customWidth="1" min="10" max="10"/>
    <col width="12" customWidth="1" min="11" max="11"/>
  </cols>
  <sheetData>
    <row r="1">
      <c r="A1" s="1" t="inlineStr">
        <is>
          <t>Employee Attendance System: Setup (Bagale Engineering Works, Pune)</t>
        </is>
      </c>
    </row>
    <row r="2">
      <c r="A2" s="2" t="inlineStr">
        <is>
          <t>Made-up employees. Type the month start, shift time and lists here; every other sheet reads from this one.</t>
        </is>
      </c>
    </row>
    <row r="3">
      <c r="A3" s="3" t="inlineStr">
        <is>
          <t>Month starts on</t>
        </is>
      </c>
      <c r="B3" s="4" t="n">
        <v>46296</v>
      </c>
    </row>
    <row r="4">
      <c r="A4" s="3" t="inlineStr">
        <is>
          <t>Shift start</t>
        </is>
      </c>
      <c r="B4" s="5" t="n">
        <v>0.3958333333333333</v>
      </c>
    </row>
    <row r="5">
      <c r="A5" s="3" t="inlineStr">
        <is>
          <t>Grace minutes</t>
        </is>
      </c>
      <c r="B5" s="6" t="n">
        <v>10</v>
      </c>
    </row>
    <row r="7">
      <c r="A7" s="7" t="inlineStr">
        <is>
          <t>Emp ID</t>
        </is>
      </c>
      <c r="B7" s="7" t="inlineStr">
        <is>
          <t>Name</t>
        </is>
      </c>
      <c r="C7" s="7" t="inlineStr">
        <is>
          <t>Department</t>
        </is>
      </c>
      <c r="D7" s="7" t="inlineStr">
        <is>
          <t>Designation</t>
        </is>
      </c>
      <c r="E7" s="7" t="inlineStr">
        <is>
          <t>Leave balance at month start</t>
        </is>
      </c>
      <c r="H7" s="8" t="inlineStr">
        <is>
          <t>Departments</t>
        </is>
      </c>
      <c r="J7" s="7" t="inlineStr">
        <is>
          <t>Code</t>
        </is>
      </c>
      <c r="K7" s="7" t="inlineStr">
        <is>
          <t>Meaning</t>
        </is>
      </c>
    </row>
    <row r="8">
      <c r="A8" s="6" t="inlineStr">
        <is>
          <t>E01</t>
        </is>
      </c>
      <c r="B8" s="6" t="inlineStr">
        <is>
          <t>Ravindra Bagale</t>
        </is>
      </c>
      <c r="C8" s="6" t="inlineStr">
        <is>
          <t>Production</t>
        </is>
      </c>
      <c r="D8" s="6" t="inlineStr">
        <is>
          <t>Supervisor</t>
        </is>
      </c>
      <c r="E8" s="6" t="n">
        <v>6</v>
      </c>
      <c r="H8" s="6" t="inlineStr">
        <is>
          <t>Production</t>
        </is>
      </c>
      <c r="J8" s="6" t="inlineStr">
        <is>
          <t>P</t>
        </is>
      </c>
      <c r="K8" s="9" t="inlineStr">
        <is>
          <t>Present</t>
        </is>
      </c>
    </row>
    <row r="9">
      <c r="A9" s="6" t="inlineStr">
        <is>
          <t>E02</t>
        </is>
      </c>
      <c r="B9" s="6" t="inlineStr">
        <is>
          <t>Shraddha Bagale</t>
        </is>
      </c>
      <c r="C9" s="6" t="inlineStr">
        <is>
          <t>Accounts</t>
        </is>
      </c>
      <c r="D9" s="6" t="inlineStr">
        <is>
          <t>Accountant</t>
        </is>
      </c>
      <c r="E9" s="6" t="n">
        <v>4</v>
      </c>
      <c r="H9" s="6" t="inlineStr">
        <is>
          <t>Accounts</t>
        </is>
      </c>
      <c r="J9" s="6" t="inlineStr">
        <is>
          <t>A</t>
        </is>
      </c>
      <c r="K9" s="9" t="inlineStr">
        <is>
          <t>Absent</t>
        </is>
      </c>
    </row>
    <row r="10">
      <c r="A10" s="6" t="inlineStr">
        <is>
          <t>E03</t>
        </is>
      </c>
      <c r="B10" s="6" t="inlineStr">
        <is>
          <t>Ruhi Bagale</t>
        </is>
      </c>
      <c r="C10" s="6" t="inlineStr">
        <is>
          <t>Sales</t>
        </is>
      </c>
      <c r="D10" s="6" t="inlineStr">
        <is>
          <t>Sales executive</t>
        </is>
      </c>
      <c r="E10" s="6" t="n">
        <v>3</v>
      </c>
      <c r="H10" s="6" t="inlineStr">
        <is>
          <t>Sales</t>
        </is>
      </c>
      <c r="J10" s="6" t="inlineStr">
        <is>
          <t>HL</t>
        </is>
      </c>
      <c r="K10" s="9" t="inlineStr">
        <is>
          <t>Half day</t>
        </is>
      </c>
    </row>
    <row r="11">
      <c r="A11" s="6" t="inlineStr">
        <is>
          <t>E04</t>
        </is>
      </c>
      <c r="B11" s="6" t="inlineStr">
        <is>
          <t>Shahrukh</t>
        </is>
      </c>
      <c r="C11" s="6" t="inlineStr">
        <is>
          <t>Production</t>
        </is>
      </c>
      <c r="D11" s="6" t="inlineStr">
        <is>
          <t>Machine operator</t>
        </is>
      </c>
      <c r="E11" s="6" t="n">
        <v>2</v>
      </c>
      <c r="H11" s="6" t="inlineStr">
        <is>
          <t>Stores</t>
        </is>
      </c>
      <c r="J11" s="6" t="inlineStr">
        <is>
          <t>L</t>
        </is>
      </c>
      <c r="K11" s="9" t="inlineStr">
        <is>
          <t>Paid leave</t>
        </is>
      </c>
    </row>
    <row r="12">
      <c r="A12" s="6" t="inlineStr">
        <is>
          <t>E05</t>
        </is>
      </c>
      <c r="B12" s="6" t="inlineStr">
        <is>
          <t>Amir</t>
        </is>
      </c>
      <c r="C12" s="6" t="inlineStr">
        <is>
          <t>Production</t>
        </is>
      </c>
      <c r="D12" s="6" t="inlineStr">
        <is>
          <t>Machine operator</t>
        </is>
      </c>
      <c r="E12" s="6" t="n">
        <v>5</v>
      </c>
      <c r="J12" s="6" t="inlineStr">
        <is>
          <t>WO</t>
        </is>
      </c>
      <c r="K12" s="9" t="inlineStr">
        <is>
          <t>Weekly off</t>
        </is>
      </c>
    </row>
    <row r="13">
      <c r="A13" s="6" t="inlineStr">
        <is>
          <t>E06</t>
        </is>
      </c>
      <c r="B13" s="6" t="inlineStr">
        <is>
          <t>Salman</t>
        </is>
      </c>
      <c r="C13" s="6" t="inlineStr">
        <is>
          <t>Stores</t>
        </is>
      </c>
      <c r="D13" s="6" t="inlineStr">
        <is>
          <t>Storekeeper</t>
        </is>
      </c>
      <c r="E13" s="6" t="n">
        <v>1</v>
      </c>
      <c r="J13" s="6" t="inlineStr">
        <is>
          <t>H</t>
        </is>
      </c>
      <c r="K13" s="9" t="inlineStr">
        <is>
          <t>Holiday</t>
        </is>
      </c>
    </row>
    <row r="14">
      <c r="A14" s="6" t="inlineStr">
        <is>
          <t>E07</t>
        </is>
      </c>
      <c r="B14" s="6" t="inlineStr">
        <is>
          <t>Zoya</t>
        </is>
      </c>
      <c r="C14" s="6" t="inlineStr">
        <is>
          <t>Sales</t>
        </is>
      </c>
      <c r="D14" s="6" t="inlineStr">
        <is>
          <t>Sales executive</t>
        </is>
      </c>
      <c r="E14" s="6" t="n">
        <v>4</v>
      </c>
    </row>
    <row r="15">
      <c r="A15" s="6" t="inlineStr">
        <is>
          <t>E08</t>
        </is>
      </c>
      <c r="B15" s="6" t="inlineStr">
        <is>
          <t>Ravina</t>
        </is>
      </c>
      <c r="C15" s="6" t="inlineStr">
        <is>
          <t>Accounts</t>
        </is>
      </c>
      <c r="D15" s="6" t="inlineStr">
        <is>
          <t>Billing assistant</t>
        </is>
      </c>
      <c r="E15" s="6" t="n">
        <v>3</v>
      </c>
    </row>
  </sheetData>
  <dataValidations count="1">
    <dataValidation sqref="C8:C40" showDropDown="0" showInputMessage="0" showErrorMessage="1" allowBlank="1" errorTitle="Not in the list" error="Pick a value from the list" type="list">
      <formula1>=$H$8:$H$11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S14"/>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8" customWidth="1" min="1" max="1"/>
    <col width="16" customWidth="1" min="2" max="2"/>
    <col width="1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4.2"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Monthly attendance (type one code per day)</t>
        </is>
      </c>
    </row>
    <row r="2">
      <c r="A2" s="2" t="inlineStr">
        <is>
          <t>Codes: P present, A absent, HL half day, L paid leave, WO weekly off, H holiday. Sundays are WO; 2 October is H.</t>
        </is>
      </c>
    </row>
    <row r="4">
      <c r="A4" s="8" t="inlineStr">
        <is>
          <t>Date</t>
        </is>
      </c>
      <c r="D4" s="10">
        <f>Setup!$B$3+0</f>
        <v/>
      </c>
      <c r="E4" s="10">
        <f>Setup!$B$3+1</f>
        <v/>
      </c>
      <c r="F4" s="10">
        <f>Setup!$B$3+2</f>
        <v/>
      </c>
      <c r="G4" s="10">
        <f>Setup!$B$3+3</f>
        <v/>
      </c>
      <c r="H4" s="10">
        <f>Setup!$B$3+4</f>
        <v/>
      </c>
      <c r="I4" s="10">
        <f>Setup!$B$3+5</f>
        <v/>
      </c>
      <c r="J4" s="10">
        <f>Setup!$B$3+6</f>
        <v/>
      </c>
      <c r="K4" s="10">
        <f>Setup!$B$3+7</f>
        <v/>
      </c>
      <c r="L4" s="10">
        <f>Setup!$B$3+8</f>
        <v/>
      </c>
      <c r="M4" s="10">
        <f>Setup!$B$3+9</f>
        <v/>
      </c>
      <c r="N4" s="10">
        <f>Setup!$B$3+10</f>
        <v/>
      </c>
      <c r="O4" s="10">
        <f>Setup!$B$3+11</f>
        <v/>
      </c>
      <c r="P4" s="10">
        <f>Setup!$B$3+12</f>
        <v/>
      </c>
      <c r="Q4" s="10">
        <f>Setup!$B$3+13</f>
        <v/>
      </c>
      <c r="R4" s="10">
        <f>Setup!$B$3+14</f>
        <v/>
      </c>
      <c r="S4" s="10">
        <f>Setup!$B$3+15</f>
        <v/>
      </c>
      <c r="T4" s="10">
        <f>Setup!$B$3+16</f>
        <v/>
      </c>
      <c r="U4" s="10">
        <f>Setup!$B$3+17</f>
        <v/>
      </c>
      <c r="V4" s="10">
        <f>Setup!$B$3+18</f>
        <v/>
      </c>
      <c r="W4" s="10">
        <f>Setup!$B$3+19</f>
        <v/>
      </c>
      <c r="X4" s="10">
        <f>Setup!$B$3+20</f>
        <v/>
      </c>
      <c r="Y4" s="10">
        <f>Setup!$B$3+21</f>
        <v/>
      </c>
      <c r="Z4" s="10">
        <f>Setup!$B$3+22</f>
        <v/>
      </c>
      <c r="AA4" s="10">
        <f>Setup!$B$3+23</f>
        <v/>
      </c>
      <c r="AB4" s="10">
        <f>Setup!$B$3+24</f>
        <v/>
      </c>
      <c r="AC4" s="10">
        <f>Setup!$B$3+25</f>
        <v/>
      </c>
      <c r="AD4" s="10">
        <f>Setup!$B$3+26</f>
        <v/>
      </c>
      <c r="AE4" s="10">
        <f>Setup!$B$3+27</f>
        <v/>
      </c>
      <c r="AF4" s="10">
        <f>Setup!$B$3+28</f>
        <v/>
      </c>
      <c r="AG4" s="10">
        <f>Setup!$B$3+29</f>
        <v/>
      </c>
      <c r="AH4" s="10">
        <f>Setup!$B$3+30</f>
        <v/>
      </c>
    </row>
    <row r="5">
      <c r="A5" s="7" t="inlineStr">
        <is>
          <t>Emp ID</t>
        </is>
      </c>
      <c r="B5" s="7" t="inlineStr">
        <is>
          <t>Name</t>
        </is>
      </c>
      <c r="C5" s="7" t="inlineStr">
        <is>
          <t>Department</t>
        </is>
      </c>
      <c r="D5" s="8">
        <f>TEXT(D4,"ddd")</f>
        <v/>
      </c>
      <c r="E5" s="8">
        <f>TEXT(E4,"ddd")</f>
        <v/>
      </c>
      <c r="F5" s="8">
        <f>TEXT(F4,"ddd")</f>
        <v/>
      </c>
      <c r="G5" s="8">
        <f>TEXT(G4,"ddd")</f>
        <v/>
      </c>
      <c r="H5" s="8">
        <f>TEXT(H4,"ddd")</f>
        <v/>
      </c>
      <c r="I5" s="8">
        <f>TEXT(I4,"ddd")</f>
        <v/>
      </c>
      <c r="J5" s="8">
        <f>TEXT(J4,"ddd")</f>
        <v/>
      </c>
      <c r="K5" s="8">
        <f>TEXT(K4,"ddd")</f>
        <v/>
      </c>
      <c r="L5" s="8">
        <f>TEXT(L4,"ddd")</f>
        <v/>
      </c>
      <c r="M5" s="8">
        <f>TEXT(M4,"ddd")</f>
        <v/>
      </c>
      <c r="N5" s="8">
        <f>TEXT(N4,"ddd")</f>
        <v/>
      </c>
      <c r="O5" s="8">
        <f>TEXT(O4,"ddd")</f>
        <v/>
      </c>
      <c r="P5" s="8">
        <f>TEXT(P4,"ddd")</f>
        <v/>
      </c>
      <c r="Q5" s="8">
        <f>TEXT(Q4,"ddd")</f>
        <v/>
      </c>
      <c r="R5" s="8">
        <f>TEXT(R4,"ddd")</f>
        <v/>
      </c>
      <c r="S5" s="8">
        <f>TEXT(S4,"ddd")</f>
        <v/>
      </c>
      <c r="T5" s="8">
        <f>TEXT(T4,"ddd")</f>
        <v/>
      </c>
      <c r="U5" s="8">
        <f>TEXT(U4,"ddd")</f>
        <v/>
      </c>
      <c r="V5" s="8">
        <f>TEXT(V4,"ddd")</f>
        <v/>
      </c>
      <c r="W5" s="8">
        <f>TEXT(W4,"ddd")</f>
        <v/>
      </c>
      <c r="X5" s="8">
        <f>TEXT(X4,"ddd")</f>
        <v/>
      </c>
      <c r="Y5" s="8">
        <f>TEXT(Y4,"ddd")</f>
        <v/>
      </c>
      <c r="Z5" s="8">
        <f>TEXT(Z4,"ddd")</f>
        <v/>
      </c>
      <c r="AA5" s="8">
        <f>TEXT(AA4,"ddd")</f>
        <v/>
      </c>
      <c r="AB5" s="8">
        <f>TEXT(AB4,"ddd")</f>
        <v/>
      </c>
      <c r="AC5" s="8">
        <f>TEXT(AC4,"ddd")</f>
        <v/>
      </c>
      <c r="AD5" s="8">
        <f>TEXT(AD4,"ddd")</f>
        <v/>
      </c>
      <c r="AE5" s="8">
        <f>TEXT(AE4,"ddd")</f>
        <v/>
      </c>
      <c r="AF5" s="8">
        <f>TEXT(AF4,"ddd")</f>
        <v/>
      </c>
      <c r="AG5" s="8">
        <f>TEXT(AG4,"ddd")</f>
        <v/>
      </c>
      <c r="AH5" s="8">
        <f>TEXT(AH4,"ddd")</f>
        <v/>
      </c>
      <c r="AI5" s="7" t="inlineStr">
        <is>
          <t>Present</t>
        </is>
      </c>
      <c r="AJ5" s="7" t="inlineStr">
        <is>
          <t>Half days</t>
        </is>
      </c>
      <c r="AK5" s="7" t="inlineStr">
        <is>
          <t>Absent</t>
        </is>
      </c>
      <c r="AL5" s="7" t="inlineStr">
        <is>
          <t>Paid leave</t>
        </is>
      </c>
      <c r="AM5" s="7" t="inlineStr">
        <is>
          <t>Offs + holidays</t>
        </is>
      </c>
      <c r="AN5" s="7" t="inlineStr">
        <is>
          <t>Payable days</t>
        </is>
      </c>
      <c r="AO5" s="7" t="inlineStr">
        <is>
          <t>Working days</t>
        </is>
      </c>
      <c r="AP5" s="7" t="inlineStr">
        <is>
          <t>Attendance %</t>
        </is>
      </c>
      <c r="AQ5" s="7" t="inlineStr">
        <is>
          <t>Late marks</t>
        </is>
      </c>
      <c r="AR5" s="7" t="inlineStr">
        <is>
          <t>Late cut (days)</t>
        </is>
      </c>
      <c r="AS5" s="7" t="inlineStr">
        <is>
          <t>Final payable days</t>
        </is>
      </c>
    </row>
    <row r="6">
      <c r="A6" s="11">
        <f>Setup!A8</f>
        <v/>
      </c>
      <c r="B6" s="11">
        <f>_xlfn.XLOOKUP(A6,Setup!$A$8:$A$15,Setup!$B$8:$B$15)</f>
        <v/>
      </c>
      <c r="C6" s="11">
        <f>_xlfn.XLOOKUP(A6,Setup!$A$8:$A$15,Setup!$C$8:$C$15)</f>
        <v/>
      </c>
      <c r="D6" s="6" t="inlineStr">
        <is>
          <t>P</t>
        </is>
      </c>
      <c r="E6" s="6" t="inlineStr">
        <is>
          <t>H</t>
        </is>
      </c>
      <c r="F6" s="6" t="inlineStr">
        <is>
          <t>P</t>
        </is>
      </c>
      <c r="G6" s="6" t="inlineStr">
        <is>
          <t>WO</t>
        </is>
      </c>
      <c r="H6" s="6" t="inlineStr">
        <is>
          <t>P</t>
        </is>
      </c>
      <c r="I6" s="6" t="inlineStr">
        <is>
          <t>P</t>
        </is>
      </c>
      <c r="J6" s="6" t="inlineStr">
        <is>
          <t>P</t>
        </is>
      </c>
      <c r="K6" s="6" t="inlineStr">
        <is>
          <t>L</t>
        </is>
      </c>
      <c r="L6" s="6" t="inlineStr">
        <is>
          <t>P</t>
        </is>
      </c>
      <c r="M6" s="6" t="inlineStr">
        <is>
          <t>P</t>
        </is>
      </c>
      <c r="N6" s="6" t="inlineStr">
        <is>
          <t>WO</t>
        </is>
      </c>
      <c r="O6" s="6" t="inlineStr">
        <is>
          <t>P</t>
        </is>
      </c>
      <c r="P6" s="6" t="inlineStr">
        <is>
          <t>P</t>
        </is>
      </c>
      <c r="Q6" s="6" t="inlineStr">
        <is>
          <t>P</t>
        </is>
      </c>
      <c r="R6" s="6" t="inlineStr">
        <is>
          <t>P</t>
        </is>
      </c>
      <c r="S6" s="6" t="inlineStr">
        <is>
          <t>P</t>
        </is>
      </c>
      <c r="T6" s="6" t="inlineStr">
        <is>
          <t>P</t>
        </is>
      </c>
      <c r="U6" s="6" t="inlineStr">
        <is>
          <t>WO</t>
        </is>
      </c>
      <c r="V6" s="6" t="inlineStr">
        <is>
          <t>P</t>
        </is>
      </c>
      <c r="W6" s="6" t="inlineStr">
        <is>
          <t>P</t>
        </is>
      </c>
      <c r="X6" s="6" t="inlineStr">
        <is>
          <t>P</t>
        </is>
      </c>
      <c r="Y6" s="6" t="inlineStr">
        <is>
          <t>P</t>
        </is>
      </c>
      <c r="Z6" s="6" t="inlineStr">
        <is>
          <t>P</t>
        </is>
      </c>
      <c r="AA6" s="6" t="inlineStr">
        <is>
          <t>P</t>
        </is>
      </c>
      <c r="AB6" s="6" t="inlineStr">
        <is>
          <t>WO</t>
        </is>
      </c>
      <c r="AC6" s="6" t="inlineStr">
        <is>
          <t>P</t>
        </is>
      </c>
      <c r="AD6" s="6" t="inlineStr">
        <is>
          <t>P</t>
        </is>
      </c>
      <c r="AE6" s="6" t="inlineStr">
        <is>
          <t>P</t>
        </is>
      </c>
      <c r="AF6" s="6" t="inlineStr">
        <is>
          <t>P</t>
        </is>
      </c>
      <c r="AG6" s="6" t="inlineStr">
        <is>
          <t>P</t>
        </is>
      </c>
      <c r="AH6" s="6" t="inlineStr">
        <is>
          <t>P</t>
        </is>
      </c>
      <c r="AI6" s="11">
        <f>COUNTIF(D6:AH6,"P")+COUNTIF(D6:AH6,"HL")/2</f>
        <v/>
      </c>
      <c r="AJ6" s="11">
        <f>COUNTIF(D6:AH6,"HL")</f>
        <v/>
      </c>
      <c r="AK6" s="11">
        <f>COUNTIF(D6:AH6,"A")+AJ6/2</f>
        <v/>
      </c>
      <c r="AL6" s="11">
        <f>COUNTIF(D6:AH6,"L")</f>
        <v/>
      </c>
      <c r="AM6" s="11">
        <f>COUNTIF(D6:AH6,"WO")+COUNTIF(D6:AH6,"H")</f>
        <v/>
      </c>
      <c r="AN6" s="11">
        <f>AI6+AL6+AM6</f>
        <v/>
      </c>
      <c r="AO6" s="11">
        <f>DAY(EOMONTH(Setup!$B$3,0))-AM6</f>
        <v/>
      </c>
      <c r="AP6" s="12">
        <f>AI6/AO6</f>
        <v/>
      </c>
      <c r="AQ6" s="11">
        <f>COUNTIFS('Late log'!$B$5:$B$60,A6,'Late log'!$F$5:$F$60,"Late")</f>
        <v/>
      </c>
      <c r="AR6" s="11">
        <f>INT(AQ6/3)*0.5</f>
        <v/>
      </c>
      <c r="AS6" s="13">
        <f>AN6-AR6</f>
        <v/>
      </c>
    </row>
    <row r="7">
      <c r="A7" s="11">
        <f>Setup!A9</f>
        <v/>
      </c>
      <c r="B7" s="11">
        <f>_xlfn.XLOOKUP(A7,Setup!$A$8:$A$15,Setup!$B$8:$B$15)</f>
        <v/>
      </c>
      <c r="C7" s="11">
        <f>_xlfn.XLOOKUP(A7,Setup!$A$8:$A$15,Setup!$C$8:$C$15)</f>
        <v/>
      </c>
      <c r="D7" s="6" t="inlineStr">
        <is>
          <t>P</t>
        </is>
      </c>
      <c r="E7" s="6" t="inlineStr">
        <is>
          <t>H</t>
        </is>
      </c>
      <c r="F7" s="6" t="inlineStr">
        <is>
          <t>P</t>
        </is>
      </c>
      <c r="G7" s="6" t="inlineStr">
        <is>
          <t>WO</t>
        </is>
      </c>
      <c r="H7" s="6" t="inlineStr">
        <is>
          <t>P</t>
        </is>
      </c>
      <c r="I7" s="6" t="inlineStr">
        <is>
          <t>P</t>
        </is>
      </c>
      <c r="J7" s="6" t="inlineStr">
        <is>
          <t>P</t>
        </is>
      </c>
      <c r="K7" s="6" t="inlineStr">
        <is>
          <t>P</t>
        </is>
      </c>
      <c r="L7" s="6" t="inlineStr">
        <is>
          <t>P</t>
        </is>
      </c>
      <c r="M7" s="6" t="inlineStr">
        <is>
          <t>P</t>
        </is>
      </c>
      <c r="N7" s="6" t="inlineStr">
        <is>
          <t>WO</t>
        </is>
      </c>
      <c r="O7" s="6" t="inlineStr">
        <is>
          <t>P</t>
        </is>
      </c>
      <c r="P7" s="6" t="inlineStr">
        <is>
          <t>A</t>
        </is>
      </c>
      <c r="Q7" s="6" t="inlineStr">
        <is>
          <t>HL</t>
        </is>
      </c>
      <c r="R7" s="6" t="inlineStr">
        <is>
          <t>P</t>
        </is>
      </c>
      <c r="S7" s="6" t="inlineStr">
        <is>
          <t>P</t>
        </is>
      </c>
      <c r="T7" s="6" t="inlineStr">
        <is>
          <t>P</t>
        </is>
      </c>
      <c r="U7" s="6" t="inlineStr">
        <is>
          <t>WO</t>
        </is>
      </c>
      <c r="V7" s="6" t="inlineStr">
        <is>
          <t>P</t>
        </is>
      </c>
      <c r="W7" s="6" t="inlineStr">
        <is>
          <t>P</t>
        </is>
      </c>
      <c r="X7" s="6" t="inlineStr">
        <is>
          <t>P</t>
        </is>
      </c>
      <c r="Y7" s="6" t="inlineStr">
        <is>
          <t>L</t>
        </is>
      </c>
      <c r="Z7" s="6" t="inlineStr">
        <is>
          <t>P</t>
        </is>
      </c>
      <c r="AA7" s="6" t="inlineStr">
        <is>
          <t>P</t>
        </is>
      </c>
      <c r="AB7" s="6" t="inlineStr">
        <is>
          <t>WO</t>
        </is>
      </c>
      <c r="AC7" s="6" t="inlineStr">
        <is>
          <t>P</t>
        </is>
      </c>
      <c r="AD7" s="6" t="inlineStr">
        <is>
          <t>P</t>
        </is>
      </c>
      <c r="AE7" s="6" t="inlineStr">
        <is>
          <t>P</t>
        </is>
      </c>
      <c r="AF7" s="6" t="inlineStr">
        <is>
          <t>P</t>
        </is>
      </c>
      <c r="AG7" s="6" t="inlineStr">
        <is>
          <t>P</t>
        </is>
      </c>
      <c r="AH7" s="6" t="inlineStr">
        <is>
          <t>P</t>
        </is>
      </c>
      <c r="AI7" s="11">
        <f>COUNTIF(D7:AH7,"P")+COUNTIF(D7:AH7,"HL")/2</f>
        <v/>
      </c>
      <c r="AJ7" s="11">
        <f>COUNTIF(D7:AH7,"HL")</f>
        <v/>
      </c>
      <c r="AK7" s="11">
        <f>COUNTIF(D7:AH7,"A")+AJ7/2</f>
        <v/>
      </c>
      <c r="AL7" s="11">
        <f>COUNTIF(D7:AH7,"L")</f>
        <v/>
      </c>
      <c r="AM7" s="11">
        <f>COUNTIF(D7:AH7,"WO")+COUNTIF(D7:AH7,"H")</f>
        <v/>
      </c>
      <c r="AN7" s="11">
        <f>AI7+AL7+AM7</f>
        <v/>
      </c>
      <c r="AO7" s="11">
        <f>DAY(EOMONTH(Setup!$B$3,0))-AM7</f>
        <v/>
      </c>
      <c r="AP7" s="12">
        <f>AI7/AO7</f>
        <v/>
      </c>
      <c r="AQ7" s="11">
        <f>COUNTIFS('Late log'!$B$5:$B$60,A7,'Late log'!$F$5:$F$60,"Late")</f>
        <v/>
      </c>
      <c r="AR7" s="11">
        <f>INT(AQ7/3)*0.5</f>
        <v/>
      </c>
      <c r="AS7" s="13">
        <f>AN7-AR7</f>
        <v/>
      </c>
    </row>
    <row r="8">
      <c r="A8" s="11">
        <f>Setup!A10</f>
        <v/>
      </c>
      <c r="B8" s="11">
        <f>_xlfn.XLOOKUP(A8,Setup!$A$8:$A$15,Setup!$B$8:$B$15)</f>
        <v/>
      </c>
      <c r="C8" s="11">
        <f>_xlfn.XLOOKUP(A8,Setup!$A$8:$A$15,Setup!$C$8:$C$15)</f>
        <v/>
      </c>
      <c r="D8" s="6" t="inlineStr">
        <is>
          <t>P</t>
        </is>
      </c>
      <c r="E8" s="6" t="inlineStr">
        <is>
          <t>H</t>
        </is>
      </c>
      <c r="F8" s="6" t="inlineStr">
        <is>
          <t>P</t>
        </is>
      </c>
      <c r="G8" s="6" t="inlineStr">
        <is>
          <t>WO</t>
        </is>
      </c>
      <c r="H8" s="6" t="inlineStr">
        <is>
          <t>P</t>
        </is>
      </c>
      <c r="I8" s="6" t="inlineStr">
        <is>
          <t>L</t>
        </is>
      </c>
      <c r="J8" s="6" t="inlineStr">
        <is>
          <t>L</t>
        </is>
      </c>
      <c r="K8" s="6" t="inlineStr">
        <is>
          <t>P</t>
        </is>
      </c>
      <c r="L8" s="6" t="inlineStr">
        <is>
          <t>P</t>
        </is>
      </c>
      <c r="M8" s="6" t="inlineStr">
        <is>
          <t>P</t>
        </is>
      </c>
      <c r="N8" s="6" t="inlineStr">
        <is>
          <t>WO</t>
        </is>
      </c>
      <c r="O8" s="6" t="inlineStr">
        <is>
          <t>P</t>
        </is>
      </c>
      <c r="P8" s="6" t="inlineStr">
        <is>
          <t>P</t>
        </is>
      </c>
      <c r="Q8" s="6" t="inlineStr">
        <is>
          <t>P</t>
        </is>
      </c>
      <c r="R8" s="6" t="inlineStr">
        <is>
          <t>P</t>
        </is>
      </c>
      <c r="S8" s="6" t="inlineStr">
        <is>
          <t>P</t>
        </is>
      </c>
      <c r="T8" s="6" t="inlineStr">
        <is>
          <t>P</t>
        </is>
      </c>
      <c r="U8" s="6" t="inlineStr">
        <is>
          <t>WO</t>
        </is>
      </c>
      <c r="V8" s="6" t="inlineStr">
        <is>
          <t>P</t>
        </is>
      </c>
      <c r="W8" s="6" t="inlineStr">
        <is>
          <t>HL</t>
        </is>
      </c>
      <c r="X8" s="6" t="inlineStr">
        <is>
          <t>P</t>
        </is>
      </c>
      <c r="Y8" s="6" t="inlineStr">
        <is>
          <t>P</t>
        </is>
      </c>
      <c r="Z8" s="6" t="inlineStr">
        <is>
          <t>P</t>
        </is>
      </c>
      <c r="AA8" s="6" t="inlineStr">
        <is>
          <t>P</t>
        </is>
      </c>
      <c r="AB8" s="6" t="inlineStr">
        <is>
          <t>WO</t>
        </is>
      </c>
      <c r="AC8" s="6" t="inlineStr">
        <is>
          <t>P</t>
        </is>
      </c>
      <c r="AD8" s="6" t="inlineStr">
        <is>
          <t>P</t>
        </is>
      </c>
      <c r="AE8" s="6" t="inlineStr">
        <is>
          <t>P</t>
        </is>
      </c>
      <c r="AF8" s="6" t="inlineStr">
        <is>
          <t>P</t>
        </is>
      </c>
      <c r="AG8" s="6" t="inlineStr">
        <is>
          <t>P</t>
        </is>
      </c>
      <c r="AH8" s="6" t="inlineStr">
        <is>
          <t>P</t>
        </is>
      </c>
      <c r="AI8" s="11">
        <f>COUNTIF(D8:AH8,"P")+COUNTIF(D8:AH8,"HL")/2</f>
        <v/>
      </c>
      <c r="AJ8" s="11">
        <f>COUNTIF(D8:AH8,"HL")</f>
        <v/>
      </c>
      <c r="AK8" s="11">
        <f>COUNTIF(D8:AH8,"A")+AJ8/2</f>
        <v/>
      </c>
      <c r="AL8" s="11">
        <f>COUNTIF(D8:AH8,"L")</f>
        <v/>
      </c>
      <c r="AM8" s="11">
        <f>COUNTIF(D8:AH8,"WO")+COUNTIF(D8:AH8,"H")</f>
        <v/>
      </c>
      <c r="AN8" s="11">
        <f>AI8+AL8+AM8</f>
        <v/>
      </c>
      <c r="AO8" s="11">
        <f>DAY(EOMONTH(Setup!$B$3,0))-AM8</f>
        <v/>
      </c>
      <c r="AP8" s="12">
        <f>AI8/AO8</f>
        <v/>
      </c>
      <c r="AQ8" s="11">
        <f>COUNTIFS('Late log'!$B$5:$B$60,A8,'Late log'!$F$5:$F$60,"Late")</f>
        <v/>
      </c>
      <c r="AR8" s="11">
        <f>INT(AQ8/3)*0.5</f>
        <v/>
      </c>
      <c r="AS8" s="13">
        <f>AN8-AR8</f>
        <v/>
      </c>
    </row>
    <row r="9">
      <c r="A9" s="11">
        <f>Setup!A11</f>
        <v/>
      </c>
      <c r="B9" s="11">
        <f>_xlfn.XLOOKUP(A9,Setup!$A$8:$A$15,Setup!$B$8:$B$15)</f>
        <v/>
      </c>
      <c r="C9" s="11">
        <f>_xlfn.XLOOKUP(A9,Setup!$A$8:$A$15,Setup!$C$8:$C$15)</f>
        <v/>
      </c>
      <c r="D9" s="6" t="inlineStr">
        <is>
          <t>P</t>
        </is>
      </c>
      <c r="E9" s="6" t="inlineStr">
        <is>
          <t>H</t>
        </is>
      </c>
      <c r="F9" s="6" t="inlineStr">
        <is>
          <t>P</t>
        </is>
      </c>
      <c r="G9" s="6" t="inlineStr">
        <is>
          <t>WO</t>
        </is>
      </c>
      <c r="H9" s="6" t="inlineStr">
        <is>
          <t>P</t>
        </is>
      </c>
      <c r="I9" s="6" t="inlineStr">
        <is>
          <t>P</t>
        </is>
      </c>
      <c r="J9" s="6" t="inlineStr">
        <is>
          <t>P</t>
        </is>
      </c>
      <c r="K9" s="6" t="inlineStr">
        <is>
          <t>P</t>
        </is>
      </c>
      <c r="L9" s="6" t="inlineStr">
        <is>
          <t>A</t>
        </is>
      </c>
      <c r="M9" s="6" t="inlineStr">
        <is>
          <t>A</t>
        </is>
      </c>
      <c r="N9" s="6" t="inlineStr">
        <is>
          <t>WO</t>
        </is>
      </c>
      <c r="O9" s="6" t="inlineStr">
        <is>
          <t>P</t>
        </is>
      </c>
      <c r="P9" s="6" t="inlineStr">
        <is>
          <t>P</t>
        </is>
      </c>
      <c r="Q9" s="6" t="inlineStr">
        <is>
          <t>P</t>
        </is>
      </c>
      <c r="R9" s="6" t="inlineStr">
        <is>
          <t>A</t>
        </is>
      </c>
      <c r="S9" s="6" t="inlineStr">
        <is>
          <t>P</t>
        </is>
      </c>
      <c r="T9" s="6" t="inlineStr">
        <is>
          <t>P</t>
        </is>
      </c>
      <c r="U9" s="6" t="inlineStr">
        <is>
          <t>WO</t>
        </is>
      </c>
      <c r="V9" s="6" t="inlineStr">
        <is>
          <t>P</t>
        </is>
      </c>
      <c r="W9" s="6" t="inlineStr">
        <is>
          <t>P</t>
        </is>
      </c>
      <c r="X9" s="6" t="inlineStr">
        <is>
          <t>P</t>
        </is>
      </c>
      <c r="Y9" s="6" t="inlineStr">
        <is>
          <t>P</t>
        </is>
      </c>
      <c r="Z9" s="6" t="inlineStr">
        <is>
          <t>P</t>
        </is>
      </c>
      <c r="AA9" s="6" t="inlineStr">
        <is>
          <t>P</t>
        </is>
      </c>
      <c r="AB9" s="6" t="inlineStr">
        <is>
          <t>WO</t>
        </is>
      </c>
      <c r="AC9" s="6" t="inlineStr">
        <is>
          <t>P</t>
        </is>
      </c>
      <c r="AD9" s="6" t="inlineStr">
        <is>
          <t>HL</t>
        </is>
      </c>
      <c r="AE9" s="6" t="inlineStr">
        <is>
          <t>P</t>
        </is>
      </c>
      <c r="AF9" s="6" t="inlineStr">
        <is>
          <t>P</t>
        </is>
      </c>
      <c r="AG9" s="6" t="inlineStr">
        <is>
          <t>P</t>
        </is>
      </c>
      <c r="AH9" s="6" t="inlineStr">
        <is>
          <t>P</t>
        </is>
      </c>
      <c r="AI9" s="11">
        <f>COUNTIF(D9:AH9,"P")+COUNTIF(D9:AH9,"HL")/2</f>
        <v/>
      </c>
      <c r="AJ9" s="11">
        <f>COUNTIF(D9:AH9,"HL")</f>
        <v/>
      </c>
      <c r="AK9" s="11">
        <f>COUNTIF(D9:AH9,"A")+AJ9/2</f>
        <v/>
      </c>
      <c r="AL9" s="11">
        <f>COUNTIF(D9:AH9,"L")</f>
        <v/>
      </c>
      <c r="AM9" s="11">
        <f>COUNTIF(D9:AH9,"WO")+COUNTIF(D9:AH9,"H")</f>
        <v/>
      </c>
      <c r="AN9" s="11">
        <f>AI9+AL9+AM9</f>
        <v/>
      </c>
      <c r="AO9" s="11">
        <f>DAY(EOMONTH(Setup!$B$3,0))-AM9</f>
        <v/>
      </c>
      <c r="AP9" s="12">
        <f>AI9/AO9</f>
        <v/>
      </c>
      <c r="AQ9" s="11">
        <f>COUNTIFS('Late log'!$B$5:$B$60,A9,'Late log'!$F$5:$F$60,"Late")</f>
        <v/>
      </c>
      <c r="AR9" s="11">
        <f>INT(AQ9/3)*0.5</f>
        <v/>
      </c>
      <c r="AS9" s="13">
        <f>AN9-AR9</f>
        <v/>
      </c>
    </row>
    <row r="10">
      <c r="A10" s="11">
        <f>Setup!A12</f>
        <v/>
      </c>
      <c r="B10" s="11">
        <f>_xlfn.XLOOKUP(A10,Setup!$A$8:$A$15,Setup!$B$8:$B$15)</f>
        <v/>
      </c>
      <c r="C10" s="11">
        <f>_xlfn.XLOOKUP(A10,Setup!$A$8:$A$15,Setup!$C$8:$C$15)</f>
        <v/>
      </c>
      <c r="D10" s="6" t="inlineStr">
        <is>
          <t>P</t>
        </is>
      </c>
      <c r="E10" s="6" t="inlineStr">
        <is>
          <t>H</t>
        </is>
      </c>
      <c r="F10" s="6" t="inlineStr">
        <is>
          <t>P</t>
        </is>
      </c>
      <c r="G10" s="6" t="inlineStr">
        <is>
          <t>WO</t>
        </is>
      </c>
      <c r="H10" s="6" t="inlineStr">
        <is>
          <t>P</t>
        </is>
      </c>
      <c r="I10" s="6" t="inlineStr">
        <is>
          <t>P</t>
        </is>
      </c>
      <c r="J10" s="6" t="inlineStr">
        <is>
          <t>P</t>
        </is>
      </c>
      <c r="K10" s="6" t="inlineStr">
        <is>
          <t>P</t>
        </is>
      </c>
      <c r="L10" s="6" t="inlineStr">
        <is>
          <t>P</t>
        </is>
      </c>
      <c r="M10" s="6" t="inlineStr">
        <is>
          <t>P</t>
        </is>
      </c>
      <c r="N10" s="6" t="inlineStr">
        <is>
          <t>WO</t>
        </is>
      </c>
      <c r="O10" s="6" t="inlineStr">
        <is>
          <t>P</t>
        </is>
      </c>
      <c r="P10" s="6" t="inlineStr">
        <is>
          <t>P</t>
        </is>
      </c>
      <c r="Q10" s="6" t="inlineStr">
        <is>
          <t>P</t>
        </is>
      </c>
      <c r="R10" s="6" t="inlineStr">
        <is>
          <t>P</t>
        </is>
      </c>
      <c r="S10" s="6" t="inlineStr">
        <is>
          <t>P</t>
        </is>
      </c>
      <c r="T10" s="6" t="inlineStr">
        <is>
          <t>P</t>
        </is>
      </c>
      <c r="U10" s="6" t="inlineStr">
        <is>
          <t>WO</t>
        </is>
      </c>
      <c r="V10" s="6" t="inlineStr">
        <is>
          <t>P</t>
        </is>
      </c>
      <c r="W10" s="6" t="inlineStr">
        <is>
          <t>P</t>
        </is>
      </c>
      <c r="X10" s="6" t="inlineStr">
        <is>
          <t>L</t>
        </is>
      </c>
      <c r="Y10" s="6" t="inlineStr">
        <is>
          <t>P</t>
        </is>
      </c>
      <c r="Z10" s="6" t="inlineStr">
        <is>
          <t>P</t>
        </is>
      </c>
      <c r="AA10" s="6" t="inlineStr">
        <is>
          <t>P</t>
        </is>
      </c>
      <c r="AB10" s="6" t="inlineStr">
        <is>
          <t>WO</t>
        </is>
      </c>
      <c r="AC10" s="6" t="inlineStr">
        <is>
          <t>P</t>
        </is>
      </c>
      <c r="AD10" s="6" t="inlineStr">
        <is>
          <t>P</t>
        </is>
      </c>
      <c r="AE10" s="6" t="inlineStr">
        <is>
          <t>P</t>
        </is>
      </c>
      <c r="AF10" s="6" t="inlineStr">
        <is>
          <t>P</t>
        </is>
      </c>
      <c r="AG10" s="6" t="inlineStr">
        <is>
          <t>P</t>
        </is>
      </c>
      <c r="AH10" s="6" t="inlineStr">
        <is>
          <t>P</t>
        </is>
      </c>
      <c r="AI10" s="11">
        <f>COUNTIF(D10:AH10,"P")+COUNTIF(D10:AH10,"HL")/2</f>
        <v/>
      </c>
      <c r="AJ10" s="11">
        <f>COUNTIF(D10:AH10,"HL")</f>
        <v/>
      </c>
      <c r="AK10" s="11">
        <f>COUNTIF(D10:AH10,"A")+AJ10/2</f>
        <v/>
      </c>
      <c r="AL10" s="11">
        <f>COUNTIF(D10:AH10,"L")</f>
        <v/>
      </c>
      <c r="AM10" s="11">
        <f>COUNTIF(D10:AH10,"WO")+COUNTIF(D10:AH10,"H")</f>
        <v/>
      </c>
      <c r="AN10" s="11">
        <f>AI10+AL10+AM10</f>
        <v/>
      </c>
      <c r="AO10" s="11">
        <f>DAY(EOMONTH(Setup!$B$3,0))-AM10</f>
        <v/>
      </c>
      <c r="AP10" s="12">
        <f>AI10/AO10</f>
        <v/>
      </c>
      <c r="AQ10" s="11">
        <f>COUNTIFS('Late log'!$B$5:$B$60,A10,'Late log'!$F$5:$F$60,"Late")</f>
        <v/>
      </c>
      <c r="AR10" s="11">
        <f>INT(AQ10/3)*0.5</f>
        <v/>
      </c>
      <c r="AS10" s="13">
        <f>AN10-AR10</f>
        <v/>
      </c>
    </row>
    <row r="11">
      <c r="A11" s="11">
        <f>Setup!A13</f>
        <v/>
      </c>
      <c r="B11" s="11">
        <f>_xlfn.XLOOKUP(A11,Setup!$A$8:$A$15,Setup!$B$8:$B$15)</f>
        <v/>
      </c>
      <c r="C11" s="11">
        <f>_xlfn.XLOOKUP(A11,Setup!$A$8:$A$15,Setup!$C$8:$C$15)</f>
        <v/>
      </c>
      <c r="D11" s="6" t="inlineStr">
        <is>
          <t>P</t>
        </is>
      </c>
      <c r="E11" s="6" t="inlineStr">
        <is>
          <t>H</t>
        </is>
      </c>
      <c r="F11" s="6" t="inlineStr">
        <is>
          <t>P</t>
        </is>
      </c>
      <c r="G11" s="6" t="inlineStr">
        <is>
          <t>WO</t>
        </is>
      </c>
      <c r="H11" s="6" t="inlineStr">
        <is>
          <t>P</t>
        </is>
      </c>
      <c r="I11" s="6" t="inlineStr">
        <is>
          <t>P</t>
        </is>
      </c>
      <c r="J11" s="6" t="inlineStr">
        <is>
          <t>P</t>
        </is>
      </c>
      <c r="K11" s="6" t="inlineStr">
        <is>
          <t>P</t>
        </is>
      </c>
      <c r="L11" s="6" t="inlineStr">
        <is>
          <t>P</t>
        </is>
      </c>
      <c r="M11" s="6" t="inlineStr">
        <is>
          <t>P</t>
        </is>
      </c>
      <c r="N11" s="6" t="inlineStr">
        <is>
          <t>WO</t>
        </is>
      </c>
      <c r="O11" s="6" t="inlineStr">
        <is>
          <t>A</t>
        </is>
      </c>
      <c r="P11" s="6" t="inlineStr">
        <is>
          <t>P</t>
        </is>
      </c>
      <c r="Q11" s="6" t="inlineStr">
        <is>
          <t>P</t>
        </is>
      </c>
      <c r="R11" s="6" t="inlineStr">
        <is>
          <t>P</t>
        </is>
      </c>
      <c r="S11" s="6" t="inlineStr">
        <is>
          <t>HL</t>
        </is>
      </c>
      <c r="T11" s="6" t="inlineStr">
        <is>
          <t>P</t>
        </is>
      </c>
      <c r="U11" s="6" t="inlineStr">
        <is>
          <t>WO</t>
        </is>
      </c>
      <c r="V11" s="6" t="inlineStr">
        <is>
          <t>P</t>
        </is>
      </c>
      <c r="W11" s="6" t="inlineStr">
        <is>
          <t>P</t>
        </is>
      </c>
      <c r="X11" s="6" t="inlineStr">
        <is>
          <t>P</t>
        </is>
      </c>
      <c r="Y11" s="6" t="inlineStr">
        <is>
          <t>P</t>
        </is>
      </c>
      <c r="Z11" s="6" t="inlineStr">
        <is>
          <t>A</t>
        </is>
      </c>
      <c r="AA11" s="6" t="inlineStr">
        <is>
          <t>L</t>
        </is>
      </c>
      <c r="AB11" s="6" t="inlineStr">
        <is>
          <t>WO</t>
        </is>
      </c>
      <c r="AC11" s="6" t="inlineStr">
        <is>
          <t>P</t>
        </is>
      </c>
      <c r="AD11" s="6" t="inlineStr">
        <is>
          <t>P</t>
        </is>
      </c>
      <c r="AE11" s="6" t="inlineStr">
        <is>
          <t>P</t>
        </is>
      </c>
      <c r="AF11" s="6" t="inlineStr">
        <is>
          <t>A</t>
        </is>
      </c>
      <c r="AG11" s="6" t="inlineStr">
        <is>
          <t>P</t>
        </is>
      </c>
      <c r="AH11" s="6" t="inlineStr">
        <is>
          <t>P</t>
        </is>
      </c>
      <c r="AI11" s="11">
        <f>COUNTIF(D11:AH11,"P")+COUNTIF(D11:AH11,"HL")/2</f>
        <v/>
      </c>
      <c r="AJ11" s="11">
        <f>COUNTIF(D11:AH11,"HL")</f>
        <v/>
      </c>
      <c r="AK11" s="11">
        <f>COUNTIF(D11:AH11,"A")+AJ11/2</f>
        <v/>
      </c>
      <c r="AL11" s="11">
        <f>COUNTIF(D11:AH11,"L")</f>
        <v/>
      </c>
      <c r="AM11" s="11">
        <f>COUNTIF(D11:AH11,"WO")+COUNTIF(D11:AH11,"H")</f>
        <v/>
      </c>
      <c r="AN11" s="11">
        <f>AI11+AL11+AM11</f>
        <v/>
      </c>
      <c r="AO11" s="11">
        <f>DAY(EOMONTH(Setup!$B$3,0))-AM11</f>
        <v/>
      </c>
      <c r="AP11" s="12">
        <f>AI11/AO11</f>
        <v/>
      </c>
      <c r="AQ11" s="11">
        <f>COUNTIFS('Late log'!$B$5:$B$60,A11,'Late log'!$F$5:$F$60,"Late")</f>
        <v/>
      </c>
      <c r="AR11" s="11">
        <f>INT(AQ11/3)*0.5</f>
        <v/>
      </c>
      <c r="AS11" s="13">
        <f>AN11-AR11</f>
        <v/>
      </c>
    </row>
    <row r="12">
      <c r="A12" s="11">
        <f>Setup!A14</f>
        <v/>
      </c>
      <c r="B12" s="11">
        <f>_xlfn.XLOOKUP(A12,Setup!$A$8:$A$15,Setup!$B$8:$B$15)</f>
        <v/>
      </c>
      <c r="C12" s="11">
        <f>_xlfn.XLOOKUP(A12,Setup!$A$8:$A$15,Setup!$C$8:$C$15)</f>
        <v/>
      </c>
      <c r="D12" s="6" t="inlineStr">
        <is>
          <t>P</t>
        </is>
      </c>
      <c r="E12" s="6" t="inlineStr">
        <is>
          <t>H</t>
        </is>
      </c>
      <c r="F12" s="6" t="inlineStr">
        <is>
          <t>P</t>
        </is>
      </c>
      <c r="G12" s="6" t="inlineStr">
        <is>
          <t>WO</t>
        </is>
      </c>
      <c r="H12" s="6" t="inlineStr">
        <is>
          <t>P</t>
        </is>
      </c>
      <c r="I12" s="6" t="inlineStr">
        <is>
          <t>P</t>
        </is>
      </c>
      <c r="J12" s="6" t="inlineStr">
        <is>
          <t>P</t>
        </is>
      </c>
      <c r="K12" s="6" t="inlineStr">
        <is>
          <t>P</t>
        </is>
      </c>
      <c r="L12" s="6" t="inlineStr">
        <is>
          <t>P</t>
        </is>
      </c>
      <c r="M12" s="6" t="inlineStr">
        <is>
          <t>P</t>
        </is>
      </c>
      <c r="N12" s="6" t="inlineStr">
        <is>
          <t>WO</t>
        </is>
      </c>
      <c r="O12" s="6" t="inlineStr">
        <is>
          <t>P</t>
        </is>
      </c>
      <c r="P12" s="6" t="inlineStr">
        <is>
          <t>P</t>
        </is>
      </c>
      <c r="Q12" s="6" t="inlineStr">
        <is>
          <t>P</t>
        </is>
      </c>
      <c r="R12" s="6" t="inlineStr">
        <is>
          <t>P</t>
        </is>
      </c>
      <c r="S12" s="6" t="inlineStr">
        <is>
          <t>P</t>
        </is>
      </c>
      <c r="T12" s="6" t="inlineStr">
        <is>
          <t>P</t>
        </is>
      </c>
      <c r="U12" s="6" t="inlineStr">
        <is>
          <t>WO</t>
        </is>
      </c>
      <c r="V12" s="6" t="inlineStr">
        <is>
          <t>HL</t>
        </is>
      </c>
      <c r="W12" s="6" t="inlineStr">
        <is>
          <t>P</t>
        </is>
      </c>
      <c r="X12" s="6" t="inlineStr">
        <is>
          <t>P</t>
        </is>
      </c>
      <c r="Y12" s="6" t="inlineStr">
        <is>
          <t>P</t>
        </is>
      </c>
      <c r="Z12" s="6" t="inlineStr">
        <is>
          <t>P</t>
        </is>
      </c>
      <c r="AA12" s="6" t="inlineStr">
        <is>
          <t>P</t>
        </is>
      </c>
      <c r="AB12" s="6" t="inlineStr">
        <is>
          <t>WO</t>
        </is>
      </c>
      <c r="AC12" s="6" t="inlineStr">
        <is>
          <t>P</t>
        </is>
      </c>
      <c r="AD12" s="6" t="inlineStr">
        <is>
          <t>P</t>
        </is>
      </c>
      <c r="AE12" s="6" t="inlineStr">
        <is>
          <t>P</t>
        </is>
      </c>
      <c r="AF12" s="6" t="inlineStr">
        <is>
          <t>P</t>
        </is>
      </c>
      <c r="AG12" s="6" t="inlineStr">
        <is>
          <t>P</t>
        </is>
      </c>
      <c r="AH12" s="6" t="inlineStr">
        <is>
          <t>P</t>
        </is>
      </c>
      <c r="AI12" s="11">
        <f>COUNTIF(D12:AH12,"P")+COUNTIF(D12:AH12,"HL")/2</f>
        <v/>
      </c>
      <c r="AJ12" s="11">
        <f>COUNTIF(D12:AH12,"HL")</f>
        <v/>
      </c>
      <c r="AK12" s="11">
        <f>COUNTIF(D12:AH12,"A")+AJ12/2</f>
        <v/>
      </c>
      <c r="AL12" s="11">
        <f>COUNTIF(D12:AH12,"L")</f>
        <v/>
      </c>
      <c r="AM12" s="11">
        <f>COUNTIF(D12:AH12,"WO")+COUNTIF(D12:AH12,"H")</f>
        <v/>
      </c>
      <c r="AN12" s="11">
        <f>AI12+AL12+AM12</f>
        <v/>
      </c>
      <c r="AO12" s="11">
        <f>DAY(EOMONTH(Setup!$B$3,0))-AM12</f>
        <v/>
      </c>
      <c r="AP12" s="12">
        <f>AI12/AO12</f>
        <v/>
      </c>
      <c r="AQ12" s="11">
        <f>COUNTIFS('Late log'!$B$5:$B$60,A12,'Late log'!$F$5:$F$60,"Late")</f>
        <v/>
      </c>
      <c r="AR12" s="11">
        <f>INT(AQ12/3)*0.5</f>
        <v/>
      </c>
      <c r="AS12" s="13">
        <f>AN12-AR12</f>
        <v/>
      </c>
    </row>
    <row r="13">
      <c r="A13" s="11">
        <f>Setup!A15</f>
        <v/>
      </c>
      <c r="B13" s="11">
        <f>_xlfn.XLOOKUP(A13,Setup!$A$8:$A$15,Setup!$B$8:$B$15)</f>
        <v/>
      </c>
      <c r="C13" s="11">
        <f>_xlfn.XLOOKUP(A13,Setup!$A$8:$A$15,Setup!$C$8:$C$15)</f>
        <v/>
      </c>
      <c r="D13" s="6" t="inlineStr">
        <is>
          <t>P</t>
        </is>
      </c>
      <c r="E13" s="6" t="inlineStr">
        <is>
          <t>H</t>
        </is>
      </c>
      <c r="F13" s="6" t="inlineStr">
        <is>
          <t>P</t>
        </is>
      </c>
      <c r="G13" s="6" t="inlineStr">
        <is>
          <t>WO</t>
        </is>
      </c>
      <c r="H13" s="6" t="inlineStr">
        <is>
          <t>P</t>
        </is>
      </c>
      <c r="I13" s="6" t="inlineStr">
        <is>
          <t>P</t>
        </is>
      </c>
      <c r="J13" s="6" t="inlineStr">
        <is>
          <t>P</t>
        </is>
      </c>
      <c r="K13" s="6" t="inlineStr">
        <is>
          <t>P</t>
        </is>
      </c>
      <c r="L13" s="6" t="inlineStr">
        <is>
          <t>P</t>
        </is>
      </c>
      <c r="M13" s="6" t="inlineStr">
        <is>
          <t>P</t>
        </is>
      </c>
      <c r="N13" s="6" t="inlineStr">
        <is>
          <t>WO</t>
        </is>
      </c>
      <c r="O13" s="6" t="inlineStr">
        <is>
          <t>P</t>
        </is>
      </c>
      <c r="P13" s="6" t="inlineStr">
        <is>
          <t>P</t>
        </is>
      </c>
      <c r="Q13" s="6" t="inlineStr">
        <is>
          <t>P</t>
        </is>
      </c>
      <c r="R13" s="6" t="inlineStr">
        <is>
          <t>P</t>
        </is>
      </c>
      <c r="S13" s="6" t="inlineStr">
        <is>
          <t>P</t>
        </is>
      </c>
      <c r="T13" s="6" t="inlineStr">
        <is>
          <t>P</t>
        </is>
      </c>
      <c r="U13" s="6" t="inlineStr">
        <is>
          <t>WO</t>
        </is>
      </c>
      <c r="V13" s="6" t="inlineStr">
        <is>
          <t>P</t>
        </is>
      </c>
      <c r="W13" s="6" t="inlineStr">
        <is>
          <t>P</t>
        </is>
      </c>
      <c r="X13" s="6" t="inlineStr">
        <is>
          <t>P</t>
        </is>
      </c>
      <c r="Y13" s="6" t="inlineStr">
        <is>
          <t>P</t>
        </is>
      </c>
      <c r="Z13" s="6" t="inlineStr">
        <is>
          <t>P</t>
        </is>
      </c>
      <c r="AA13" s="6" t="inlineStr">
        <is>
          <t>P</t>
        </is>
      </c>
      <c r="AB13" s="6" t="inlineStr">
        <is>
          <t>WO</t>
        </is>
      </c>
      <c r="AC13" s="6" t="inlineStr">
        <is>
          <t>L</t>
        </is>
      </c>
      <c r="AD13" s="6" t="inlineStr">
        <is>
          <t>P</t>
        </is>
      </c>
      <c r="AE13" s="6" t="inlineStr">
        <is>
          <t>P</t>
        </is>
      </c>
      <c r="AF13" s="6" t="inlineStr">
        <is>
          <t>P</t>
        </is>
      </c>
      <c r="AG13" s="6" t="inlineStr">
        <is>
          <t>HL</t>
        </is>
      </c>
      <c r="AH13" s="6" t="inlineStr">
        <is>
          <t>P</t>
        </is>
      </c>
      <c r="AI13" s="11">
        <f>COUNTIF(D13:AH13,"P")+COUNTIF(D13:AH13,"HL")/2</f>
        <v/>
      </c>
      <c r="AJ13" s="11">
        <f>COUNTIF(D13:AH13,"HL")</f>
        <v/>
      </c>
      <c r="AK13" s="11">
        <f>COUNTIF(D13:AH13,"A")+AJ13/2</f>
        <v/>
      </c>
      <c r="AL13" s="11">
        <f>COUNTIF(D13:AH13,"L")</f>
        <v/>
      </c>
      <c r="AM13" s="11">
        <f>COUNTIF(D13:AH13,"WO")+COUNTIF(D13:AH13,"H")</f>
        <v/>
      </c>
      <c r="AN13" s="11">
        <f>AI13+AL13+AM13</f>
        <v/>
      </c>
      <c r="AO13" s="11">
        <f>DAY(EOMONTH(Setup!$B$3,0))-AM13</f>
        <v/>
      </c>
      <c r="AP13" s="12">
        <f>AI13/AO13</f>
        <v/>
      </c>
      <c r="AQ13" s="11">
        <f>COUNTIFS('Late log'!$B$5:$B$60,A13,'Late log'!$F$5:$F$60,"Late")</f>
        <v/>
      </c>
      <c r="AR13" s="11">
        <f>INT(AQ13/3)*0.5</f>
        <v/>
      </c>
      <c r="AS13" s="13">
        <f>AN13-AR13</f>
        <v/>
      </c>
    </row>
    <row r="14">
      <c r="C14" s="14" t="inlineStr">
        <is>
          <t>Present on the day</t>
        </is>
      </c>
      <c r="D14" s="14">
        <f>COUNTIF(D6:D13,"P")+COUNTIF(D6:D13,"HL")/2</f>
        <v/>
      </c>
      <c r="E14" s="14">
        <f>COUNTIF(E6:E13,"P")+COUNTIF(E6:E13,"HL")/2</f>
        <v/>
      </c>
      <c r="F14" s="14">
        <f>COUNTIF(F6:F13,"P")+COUNTIF(F6:F13,"HL")/2</f>
        <v/>
      </c>
      <c r="G14" s="14">
        <f>COUNTIF(G6:G13,"P")+COUNTIF(G6:G13,"HL")/2</f>
        <v/>
      </c>
      <c r="H14" s="14">
        <f>COUNTIF(H6:H13,"P")+COUNTIF(H6:H13,"HL")/2</f>
        <v/>
      </c>
      <c r="I14" s="14">
        <f>COUNTIF(I6:I13,"P")+COUNTIF(I6:I13,"HL")/2</f>
        <v/>
      </c>
      <c r="J14" s="14">
        <f>COUNTIF(J6:J13,"P")+COUNTIF(J6:J13,"HL")/2</f>
        <v/>
      </c>
      <c r="K14" s="14">
        <f>COUNTIF(K6:K13,"P")+COUNTIF(K6:K13,"HL")/2</f>
        <v/>
      </c>
      <c r="L14" s="14">
        <f>COUNTIF(L6:L13,"P")+COUNTIF(L6:L13,"HL")/2</f>
        <v/>
      </c>
      <c r="M14" s="14">
        <f>COUNTIF(M6:M13,"P")+COUNTIF(M6:M13,"HL")/2</f>
        <v/>
      </c>
      <c r="N14" s="14">
        <f>COUNTIF(N6:N13,"P")+COUNTIF(N6:N13,"HL")/2</f>
        <v/>
      </c>
      <c r="O14" s="14">
        <f>COUNTIF(O6:O13,"P")+COUNTIF(O6:O13,"HL")/2</f>
        <v/>
      </c>
      <c r="P14" s="14">
        <f>COUNTIF(P6:P13,"P")+COUNTIF(P6:P13,"HL")/2</f>
        <v/>
      </c>
      <c r="Q14" s="14">
        <f>COUNTIF(Q6:Q13,"P")+COUNTIF(Q6:Q13,"HL")/2</f>
        <v/>
      </c>
      <c r="R14" s="14">
        <f>COUNTIF(R6:R13,"P")+COUNTIF(R6:R13,"HL")/2</f>
        <v/>
      </c>
      <c r="S14" s="14">
        <f>COUNTIF(S6:S13,"P")+COUNTIF(S6:S13,"HL")/2</f>
        <v/>
      </c>
      <c r="T14" s="14">
        <f>COUNTIF(T6:T13,"P")+COUNTIF(T6:T13,"HL")/2</f>
        <v/>
      </c>
      <c r="U14" s="14">
        <f>COUNTIF(U6:U13,"P")+COUNTIF(U6:U13,"HL")/2</f>
        <v/>
      </c>
      <c r="V14" s="14">
        <f>COUNTIF(V6:V13,"P")+COUNTIF(V6:V13,"HL")/2</f>
        <v/>
      </c>
      <c r="W14" s="14">
        <f>COUNTIF(W6:W13,"P")+COUNTIF(W6:W13,"HL")/2</f>
        <v/>
      </c>
      <c r="X14" s="14">
        <f>COUNTIF(X6:X13,"P")+COUNTIF(X6:X13,"HL")/2</f>
        <v/>
      </c>
      <c r="Y14" s="14">
        <f>COUNTIF(Y6:Y13,"P")+COUNTIF(Y6:Y13,"HL")/2</f>
        <v/>
      </c>
      <c r="Z14" s="14">
        <f>COUNTIF(Z6:Z13,"P")+COUNTIF(Z6:Z13,"HL")/2</f>
        <v/>
      </c>
      <c r="AA14" s="14">
        <f>COUNTIF(AA6:AA13,"P")+COUNTIF(AA6:AA13,"HL")/2</f>
        <v/>
      </c>
      <c r="AB14" s="14">
        <f>COUNTIF(AB6:AB13,"P")+COUNTIF(AB6:AB13,"HL")/2</f>
        <v/>
      </c>
      <c r="AC14" s="14">
        <f>COUNTIF(AC6:AC13,"P")+COUNTIF(AC6:AC13,"HL")/2</f>
        <v/>
      </c>
      <c r="AD14" s="14">
        <f>COUNTIF(AD6:AD13,"P")+COUNTIF(AD6:AD13,"HL")/2</f>
        <v/>
      </c>
      <c r="AE14" s="14">
        <f>COUNTIF(AE6:AE13,"P")+COUNTIF(AE6:AE13,"HL")/2</f>
        <v/>
      </c>
      <c r="AF14" s="14">
        <f>COUNTIF(AF6:AF13,"P")+COUNTIF(AF6:AF13,"HL")/2</f>
        <v/>
      </c>
      <c r="AG14" s="14">
        <f>COUNTIF(AG6:AG13,"P")+COUNTIF(AG6:AG13,"HL")/2</f>
        <v/>
      </c>
      <c r="AH14" s="14">
        <f>COUNTIF(AH6:AH13,"P")+COUNTIF(AH6:AH13,"HL")/2</f>
        <v/>
      </c>
    </row>
  </sheetData>
  <conditionalFormatting sqref="D6:AH23">
    <cfRule type="cellIs" priority="1" operator="equal" dxfId="0">
      <formula>"A"</formula>
    </cfRule>
    <cfRule type="cellIs" priority="2" operator="equal" dxfId="1">
      <formula>"L"</formula>
    </cfRule>
    <cfRule type="cellIs" priority="3" operator="equal" dxfId="2">
      <formula>"WO"</formula>
    </cfRule>
    <cfRule type="cellIs" priority="4" operator="equal" dxfId="2">
      <formula>"H"</formula>
    </cfRule>
    <cfRule type="cellIs" priority="5" operator="equal" dxfId="3">
      <formula>"HL"</formula>
    </cfRule>
  </conditionalFormatting>
  <conditionalFormatting sqref="AP6:AP13">
    <cfRule type="cellIs" priority="6" operator="lessThan" dxfId="0">
      <formula>0.9</formula>
    </cfRule>
  </conditionalFormatting>
  <dataValidations count="1">
    <dataValidation sqref="D6:AH23" showDropDown="0" showInputMessage="0" showErrorMessage="1" allowBlank="1" errorTitle="Not in the list" error="Pick a value from the list" type="list">
      <formula1>=Setup!$J$8:$J$13</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2" customWidth="1" min="1" max="1"/>
    <col width="9" customWidth="1" min="2" max="2"/>
    <col width="18" customWidth="1" min="3" max="3"/>
    <col width="9" customWidth="1" min="4" max="4"/>
    <col width="13" customWidth="1" min="5" max="5"/>
    <col width="9" customWidth="1" min="6" max="6"/>
  </cols>
  <sheetData>
    <row r="1">
      <c r="A1" s="1" t="inlineStr">
        <is>
          <t>Late log (one row per late arrival)</t>
        </is>
      </c>
    </row>
    <row r="2">
      <c r="A2" s="2" t="inlineStr">
        <is>
          <t>Minutes late = in time minus shift start (Setup B4). More than the grace minutes (Setup B5) counts as a late mark; every 3 late marks cut half a day (example company rule).</t>
        </is>
      </c>
    </row>
    <row r="4">
      <c r="A4" s="7" t="inlineStr">
        <is>
          <t>Date</t>
        </is>
      </c>
      <c r="B4" s="7" t="inlineStr">
        <is>
          <t>Emp ID</t>
        </is>
      </c>
      <c r="C4" s="7" t="inlineStr">
        <is>
          <t>Name</t>
        </is>
      </c>
      <c r="D4" s="7" t="inlineStr">
        <is>
          <t>In time</t>
        </is>
      </c>
      <c r="E4" s="7" t="inlineStr">
        <is>
          <t>Minutes late</t>
        </is>
      </c>
      <c r="F4" s="7" t="inlineStr">
        <is>
          <t>Late?</t>
        </is>
      </c>
    </row>
    <row r="5">
      <c r="A5" s="4" t="n">
        <v>46300</v>
      </c>
      <c r="B5" s="6" t="inlineStr">
        <is>
          <t>E04</t>
        </is>
      </c>
      <c r="C5" s="11">
        <f>_xlfn.XLOOKUP(B5,Setup!$A$8:$A$15,Setup!$B$8:$B$15,"Check ID")</f>
        <v/>
      </c>
      <c r="D5" s="5" t="n">
        <v>0.4111111111111111</v>
      </c>
      <c r="E5" s="11">
        <f>MAX(0,ROUND((D5-Setup!$B$4)*1440,0))</f>
        <v/>
      </c>
      <c r="F5" s="11">
        <f>IF(E5&gt;Setup!$B$5,"Late","On time")</f>
        <v/>
      </c>
    </row>
    <row r="6">
      <c r="A6" s="4" t="n">
        <v>46301</v>
      </c>
      <c r="B6" s="6" t="inlineStr">
        <is>
          <t>E06</t>
        </is>
      </c>
      <c r="C6" s="11">
        <f>_xlfn.XLOOKUP(B6,Setup!$A$8:$A$15,Setup!$B$8:$B$15,"Check ID")</f>
        <v/>
      </c>
      <c r="D6" s="5" t="n">
        <v>0.4013888888888889</v>
      </c>
      <c r="E6" s="11">
        <f>MAX(0,ROUND((D6-Setup!$B$4)*1440,0))</f>
        <v/>
      </c>
      <c r="F6" s="11">
        <f>IF(E6&gt;Setup!$B$5,"Late","On time")</f>
        <v/>
      </c>
    </row>
    <row r="7">
      <c r="A7" s="4" t="n">
        <v>46302</v>
      </c>
      <c r="B7" s="6" t="inlineStr">
        <is>
          <t>E04</t>
        </is>
      </c>
      <c r="C7" s="11">
        <f>_xlfn.XLOOKUP(B7,Setup!$A$8:$A$15,Setup!$B$8:$B$15,"Check ID")</f>
        <v/>
      </c>
      <c r="D7" s="5" t="n">
        <v>0.4076388888888889</v>
      </c>
      <c r="E7" s="11">
        <f>MAX(0,ROUND((D7-Setup!$B$4)*1440,0))</f>
        <v/>
      </c>
      <c r="F7" s="11">
        <f>IF(E7&gt;Setup!$B$5,"Late","On time")</f>
        <v/>
      </c>
    </row>
    <row r="8">
      <c r="A8" s="4" t="n">
        <v>46303</v>
      </c>
      <c r="B8" s="6" t="inlineStr">
        <is>
          <t>E03</t>
        </is>
      </c>
      <c r="C8" s="11">
        <f>_xlfn.XLOOKUP(B8,Setup!$A$8:$A$15,Setup!$B$8:$B$15,"Check ID")</f>
        <v/>
      </c>
      <c r="D8" s="5" t="n">
        <v>0.4034722222222222</v>
      </c>
      <c r="E8" s="11">
        <f>MAX(0,ROUND((D8-Setup!$B$4)*1440,0))</f>
        <v/>
      </c>
      <c r="F8" s="11">
        <f>IF(E8&gt;Setup!$B$5,"Late","On time")</f>
        <v/>
      </c>
    </row>
    <row r="9">
      <c r="A9" s="4" t="n">
        <v>46307</v>
      </c>
      <c r="B9" s="6" t="inlineStr">
        <is>
          <t>E04</t>
        </is>
      </c>
      <c r="C9" s="11">
        <f>_xlfn.XLOOKUP(B9,Setup!$A$8:$A$15,Setup!$B$8:$B$15,"Check ID")</f>
        <v/>
      </c>
      <c r="D9" s="5" t="n">
        <v>0.4201388888888889</v>
      </c>
      <c r="E9" s="11">
        <f>MAX(0,ROUND((D9-Setup!$B$4)*1440,0))</f>
        <v/>
      </c>
      <c r="F9" s="11">
        <f>IF(E9&gt;Setup!$B$5,"Late","On time")</f>
        <v/>
      </c>
    </row>
    <row r="10">
      <c r="A10" s="4" t="n">
        <v>46308</v>
      </c>
      <c r="B10" s="6" t="inlineStr">
        <is>
          <t>E06</t>
        </is>
      </c>
      <c r="C10" s="11">
        <f>_xlfn.XLOOKUP(B10,Setup!$A$8:$A$15,Setup!$B$8:$B$15,"Check ID")</f>
        <v/>
      </c>
      <c r="D10" s="5" t="n">
        <v>0.4055555555555556</v>
      </c>
      <c r="E10" s="11">
        <f>MAX(0,ROUND((D10-Setup!$B$4)*1440,0))</f>
        <v/>
      </c>
      <c r="F10" s="11">
        <f>IF(E10&gt;Setup!$B$5,"Late","On time")</f>
        <v/>
      </c>
    </row>
    <row r="11">
      <c r="A11" s="4" t="n">
        <v>46309</v>
      </c>
      <c r="B11" s="6" t="inlineStr">
        <is>
          <t>E01</t>
        </is>
      </c>
      <c r="C11" s="11">
        <f>_xlfn.XLOOKUP(B11,Setup!$A$8:$A$15,Setup!$B$8:$B$15,"Check ID")</f>
        <v/>
      </c>
      <c r="D11" s="5" t="n">
        <v>0.3993055555555556</v>
      </c>
      <c r="E11" s="11">
        <f>MAX(0,ROUND((D11-Setup!$B$4)*1440,0))</f>
        <v/>
      </c>
      <c r="F11" s="11">
        <f>IF(E11&gt;Setup!$B$5,"Late","On time")</f>
        <v/>
      </c>
    </row>
    <row r="12">
      <c r="A12" s="4" t="n">
        <v>46311</v>
      </c>
      <c r="B12" s="6" t="inlineStr">
        <is>
          <t>E07</t>
        </is>
      </c>
      <c r="C12" s="11">
        <f>_xlfn.XLOOKUP(B12,Setup!$A$8:$A$15,Setup!$B$8:$B$15,"Check ID")</f>
        <v/>
      </c>
      <c r="D12" s="5" t="n">
        <v>0.4048611111111111</v>
      </c>
      <c r="E12" s="11">
        <f>MAX(0,ROUND((D12-Setup!$B$4)*1440,0))</f>
        <v/>
      </c>
      <c r="F12" s="11">
        <f>IF(E12&gt;Setup!$B$5,"Late","On time")</f>
        <v/>
      </c>
    </row>
    <row r="13">
      <c r="A13" s="4" t="n">
        <v>46314</v>
      </c>
      <c r="B13" s="6" t="inlineStr">
        <is>
          <t>E04</t>
        </is>
      </c>
      <c r="C13" s="11">
        <f>_xlfn.XLOOKUP(B13,Setup!$A$8:$A$15,Setup!$B$8:$B$15,"Check ID")</f>
        <v/>
      </c>
      <c r="D13" s="5" t="n">
        <v>0.4090277777777778</v>
      </c>
      <c r="E13" s="11">
        <f>MAX(0,ROUND((D13-Setup!$B$4)*1440,0))</f>
        <v/>
      </c>
      <c r="F13" s="11">
        <f>IF(E13&gt;Setup!$B$5,"Late","On time")</f>
        <v/>
      </c>
    </row>
    <row r="14">
      <c r="A14" s="4" t="n">
        <v>46315</v>
      </c>
      <c r="B14" s="6" t="inlineStr">
        <is>
          <t>E06</t>
        </is>
      </c>
      <c r="C14" s="11">
        <f>_xlfn.XLOOKUP(B14,Setup!$A$8:$A$15,Setup!$B$8:$B$15,"Check ID")</f>
        <v/>
      </c>
      <c r="D14" s="5" t="n">
        <v>0.4152777777777778</v>
      </c>
      <c r="E14" s="11">
        <f>MAX(0,ROUND((D14-Setup!$B$4)*1440,0))</f>
        <v/>
      </c>
      <c r="F14" s="11">
        <f>IF(E14&gt;Setup!$B$5,"Late","On time")</f>
        <v/>
      </c>
    </row>
    <row r="15">
      <c r="A15" s="4" t="n">
        <v>46316</v>
      </c>
      <c r="B15" s="6" t="inlineStr">
        <is>
          <t>E02</t>
        </is>
      </c>
      <c r="C15" s="11">
        <f>_xlfn.XLOOKUP(B15,Setup!$A$8:$A$15,Setup!$B$8:$B$15,"Check ID")</f>
        <v/>
      </c>
      <c r="D15" s="5" t="n">
        <v>0.4020833333333333</v>
      </c>
      <c r="E15" s="11">
        <f>MAX(0,ROUND((D15-Setup!$B$4)*1440,0))</f>
        <v/>
      </c>
      <c r="F15" s="11">
        <f>IF(E15&gt;Setup!$B$5,"Late","On time")</f>
        <v/>
      </c>
    </row>
    <row r="16">
      <c r="A16" s="4" t="n">
        <v>46321</v>
      </c>
      <c r="B16" s="6" t="inlineStr">
        <is>
          <t>E06</t>
        </is>
      </c>
      <c r="C16" s="11">
        <f>_xlfn.XLOOKUP(B16,Setup!$A$8:$A$15,Setup!$B$8:$B$15,"Check ID")</f>
        <v/>
      </c>
      <c r="D16" s="5" t="n">
        <v>0.4069444444444444</v>
      </c>
      <c r="E16" s="11">
        <f>MAX(0,ROUND((D16-Setup!$B$4)*1440,0))</f>
        <v/>
      </c>
      <c r="F16" s="11">
        <f>IF(E16&gt;Setup!$B$5,"Late","On time")</f>
        <v/>
      </c>
    </row>
  </sheetData>
  <conditionalFormatting sqref="F5:F60">
    <cfRule type="cellIs" priority="1" operator="equal" dxfId="0">
      <formula>"Late"</formula>
    </cfRule>
  </conditionalFormatting>
  <dataValidations count="1">
    <dataValidation sqref="B5:B60" showDropDown="0" showInputMessage="0" showErrorMessage="1" allowBlank="1" errorTitle="Not in the list" error="Pick a value from the list" type="list">
      <formula1>=Setup!$A$8:$A$15</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9" customWidth="1" min="1" max="1"/>
    <col width="18" customWidth="1" min="2" max="2"/>
    <col width="12" customWidth="1" min="3" max="3"/>
    <col width="12" customWidth="1" min="4" max="4"/>
    <col width="12" customWidth="1" min="5" max="5"/>
    <col width="9" customWidth="1" min="6" max="6"/>
  </cols>
  <sheetData>
    <row r="1">
      <c r="A1" s="1" t="inlineStr">
        <is>
          <t>Leave balance</t>
        </is>
      </c>
    </row>
    <row r="2">
      <c r="A2" s="2" t="inlineStr">
        <is>
          <t>Opening balance from Setup, leave taken from the Attendance sheet (code L).</t>
        </is>
      </c>
    </row>
    <row r="4">
      <c r="A4" s="7" t="inlineStr">
        <is>
          <t>Emp ID</t>
        </is>
      </c>
      <c r="B4" s="7" t="inlineStr">
        <is>
          <t>Name</t>
        </is>
      </c>
      <c r="C4" s="7" t="inlineStr">
        <is>
          <t>Opening balance</t>
        </is>
      </c>
      <c r="D4" s="7" t="inlineStr">
        <is>
          <t>Taken this month</t>
        </is>
      </c>
      <c r="E4" s="7" t="inlineStr">
        <is>
          <t>Closing balance</t>
        </is>
      </c>
      <c r="F4" s="7" t="inlineStr">
        <is>
          <t>Status</t>
        </is>
      </c>
    </row>
    <row r="5">
      <c r="A5" s="11">
        <f>Setup!A8</f>
        <v/>
      </c>
      <c r="B5" s="11">
        <f>_xlfn.XLOOKUP(A5,Setup!$A$8:$A$15,Setup!$B$8:$B$15)</f>
        <v/>
      </c>
      <c r="C5" s="11">
        <f>_xlfn.XLOOKUP(A5,Setup!$A$8:$A$15,Setup!$E$8:$E$15)</f>
        <v/>
      </c>
      <c r="D5" s="11">
        <f>_xlfn.XLOOKUP(A5,Attendance!$A$6:$A$13,Attendance!$AL$6:$AL$13)</f>
        <v/>
      </c>
      <c r="E5" s="11">
        <f>C5-D5</f>
        <v/>
      </c>
      <c r="F5" s="11">
        <f>IF(E5&lt;=1,"Low","OK")</f>
        <v/>
      </c>
    </row>
    <row r="6">
      <c r="A6" s="11">
        <f>Setup!A9</f>
        <v/>
      </c>
      <c r="B6" s="11">
        <f>_xlfn.XLOOKUP(A6,Setup!$A$8:$A$15,Setup!$B$8:$B$15)</f>
        <v/>
      </c>
      <c r="C6" s="11">
        <f>_xlfn.XLOOKUP(A6,Setup!$A$8:$A$15,Setup!$E$8:$E$15)</f>
        <v/>
      </c>
      <c r="D6" s="11">
        <f>_xlfn.XLOOKUP(A6,Attendance!$A$6:$A$13,Attendance!$AL$6:$AL$13)</f>
        <v/>
      </c>
      <c r="E6" s="11">
        <f>C6-D6</f>
        <v/>
      </c>
      <c r="F6" s="11">
        <f>IF(E6&lt;=1,"Low","OK")</f>
        <v/>
      </c>
    </row>
    <row r="7">
      <c r="A7" s="11">
        <f>Setup!A10</f>
        <v/>
      </c>
      <c r="B7" s="11">
        <f>_xlfn.XLOOKUP(A7,Setup!$A$8:$A$15,Setup!$B$8:$B$15)</f>
        <v/>
      </c>
      <c r="C7" s="11">
        <f>_xlfn.XLOOKUP(A7,Setup!$A$8:$A$15,Setup!$E$8:$E$15)</f>
        <v/>
      </c>
      <c r="D7" s="11">
        <f>_xlfn.XLOOKUP(A7,Attendance!$A$6:$A$13,Attendance!$AL$6:$AL$13)</f>
        <v/>
      </c>
      <c r="E7" s="11">
        <f>C7-D7</f>
        <v/>
      </c>
      <c r="F7" s="11">
        <f>IF(E7&lt;=1,"Low","OK")</f>
        <v/>
      </c>
    </row>
    <row r="8">
      <c r="A8" s="11">
        <f>Setup!A11</f>
        <v/>
      </c>
      <c r="B8" s="11">
        <f>_xlfn.XLOOKUP(A8,Setup!$A$8:$A$15,Setup!$B$8:$B$15)</f>
        <v/>
      </c>
      <c r="C8" s="11">
        <f>_xlfn.XLOOKUP(A8,Setup!$A$8:$A$15,Setup!$E$8:$E$15)</f>
        <v/>
      </c>
      <c r="D8" s="11">
        <f>_xlfn.XLOOKUP(A8,Attendance!$A$6:$A$13,Attendance!$AL$6:$AL$13)</f>
        <v/>
      </c>
      <c r="E8" s="11">
        <f>C8-D8</f>
        <v/>
      </c>
      <c r="F8" s="11">
        <f>IF(E8&lt;=1,"Low","OK")</f>
        <v/>
      </c>
    </row>
    <row r="9">
      <c r="A9" s="11">
        <f>Setup!A12</f>
        <v/>
      </c>
      <c r="B9" s="11">
        <f>_xlfn.XLOOKUP(A9,Setup!$A$8:$A$15,Setup!$B$8:$B$15)</f>
        <v/>
      </c>
      <c r="C9" s="11">
        <f>_xlfn.XLOOKUP(A9,Setup!$A$8:$A$15,Setup!$E$8:$E$15)</f>
        <v/>
      </c>
      <c r="D9" s="11">
        <f>_xlfn.XLOOKUP(A9,Attendance!$A$6:$A$13,Attendance!$AL$6:$AL$13)</f>
        <v/>
      </c>
      <c r="E9" s="11">
        <f>C9-D9</f>
        <v/>
      </c>
      <c r="F9" s="11">
        <f>IF(E9&lt;=1,"Low","OK")</f>
        <v/>
      </c>
    </row>
    <row r="10">
      <c r="A10" s="11">
        <f>Setup!A13</f>
        <v/>
      </c>
      <c r="B10" s="11">
        <f>_xlfn.XLOOKUP(A10,Setup!$A$8:$A$15,Setup!$B$8:$B$15)</f>
        <v/>
      </c>
      <c r="C10" s="11">
        <f>_xlfn.XLOOKUP(A10,Setup!$A$8:$A$15,Setup!$E$8:$E$15)</f>
        <v/>
      </c>
      <c r="D10" s="11">
        <f>_xlfn.XLOOKUP(A10,Attendance!$A$6:$A$13,Attendance!$AL$6:$AL$13)</f>
        <v/>
      </c>
      <c r="E10" s="11">
        <f>C10-D10</f>
        <v/>
      </c>
      <c r="F10" s="11">
        <f>IF(E10&lt;=1,"Low","OK")</f>
        <v/>
      </c>
    </row>
    <row r="11">
      <c r="A11" s="11">
        <f>Setup!A14</f>
        <v/>
      </c>
      <c r="B11" s="11">
        <f>_xlfn.XLOOKUP(A11,Setup!$A$8:$A$15,Setup!$B$8:$B$15)</f>
        <v/>
      </c>
      <c r="C11" s="11">
        <f>_xlfn.XLOOKUP(A11,Setup!$A$8:$A$15,Setup!$E$8:$E$15)</f>
        <v/>
      </c>
      <c r="D11" s="11">
        <f>_xlfn.XLOOKUP(A11,Attendance!$A$6:$A$13,Attendance!$AL$6:$AL$13)</f>
        <v/>
      </c>
      <c r="E11" s="11">
        <f>C11-D11</f>
        <v/>
      </c>
      <c r="F11" s="11">
        <f>IF(E11&lt;=1,"Low","OK")</f>
        <v/>
      </c>
    </row>
    <row r="12">
      <c r="A12" s="11">
        <f>Setup!A15</f>
        <v/>
      </c>
      <c r="B12" s="11">
        <f>_xlfn.XLOOKUP(A12,Setup!$A$8:$A$15,Setup!$B$8:$B$15)</f>
        <v/>
      </c>
      <c r="C12" s="11">
        <f>_xlfn.XLOOKUP(A12,Setup!$A$8:$A$15,Setup!$E$8:$E$15)</f>
        <v/>
      </c>
      <c r="D12" s="11">
        <f>_xlfn.XLOOKUP(A12,Attendance!$A$6:$A$13,Attendance!$AL$6:$AL$13)</f>
        <v/>
      </c>
      <c r="E12" s="11">
        <f>C12-D12</f>
        <v/>
      </c>
      <c r="F12" s="11">
        <f>IF(E12&lt;=1,"Low","OK")</f>
        <v/>
      </c>
    </row>
  </sheetData>
  <conditionalFormatting sqref="F5:F12">
    <cfRule type="cellIs" priority="1" operator="equal" dxfId="1">
      <formula>"Low"</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13" customWidth="1" min="1" max="1"/>
    <col width="11" customWidth="1" min="2" max="2"/>
    <col width="12" customWidth="1" min="3" max="3"/>
    <col width="12" customWidth="1" min="4" max="4"/>
    <col width="11" customWidth="1" min="5" max="5"/>
    <col width="14" customWidth="1" min="6" max="6"/>
    <col width="11" customWidth="1" min="7" max="7"/>
  </cols>
  <sheetData>
    <row r="1">
      <c r="A1" s="1" t="inlineStr">
        <is>
          <t>Department report</t>
        </is>
      </c>
    </row>
    <row r="2">
      <c r="A2" s="2" t="inlineStr">
        <is>
          <t>SUMIFS, COUNTIF and AVERAGEIFS over the Attendance sheet.</t>
        </is>
      </c>
    </row>
    <row r="4">
      <c r="A4" s="7" t="inlineStr">
        <is>
          <t>Department</t>
        </is>
      </c>
      <c r="B4" s="7" t="inlineStr">
        <is>
          <t>Employees</t>
        </is>
      </c>
      <c r="C4" s="7" t="inlineStr">
        <is>
          <t>Present days</t>
        </is>
      </c>
      <c r="D4" s="7" t="inlineStr">
        <is>
          <t>Absent days</t>
        </is>
      </c>
      <c r="E4" s="7" t="inlineStr">
        <is>
          <t>Paid leave</t>
        </is>
      </c>
      <c r="F4" s="7" t="inlineStr">
        <is>
          <t>Average attendance %</t>
        </is>
      </c>
      <c r="G4" s="7" t="inlineStr">
        <is>
          <t>Late marks</t>
        </is>
      </c>
    </row>
    <row r="5">
      <c r="A5" s="11">
        <f>Setup!H8</f>
        <v/>
      </c>
      <c r="B5" s="11">
        <f>COUNTIF(Attendance!$C$6:$C$13,A5)</f>
        <v/>
      </c>
      <c r="C5" s="11">
        <f>SUMIFS(Attendance!$AI$6:$AI$13,Attendance!$C$6:$C$13,A5)</f>
        <v/>
      </c>
      <c r="D5" s="11">
        <f>SUMIFS(Attendance!$AK$6:$AK$13,Attendance!$C$6:$C$13,A5)</f>
        <v/>
      </c>
      <c r="E5" s="11">
        <f>SUMIFS(Attendance!$AL$6:$AL$13,Attendance!$C$6:$C$13,A5)</f>
        <v/>
      </c>
      <c r="F5" s="12">
        <f>AVERAGEIFS(Attendance!$AP$6:$AP$13,Attendance!$C$6:$C$13,A5)</f>
        <v/>
      </c>
      <c r="G5" s="11">
        <f>SUMIFS(Attendance!$AQ$6:$AQ$13,Attendance!$C$6:$C$13,A5)</f>
        <v/>
      </c>
    </row>
    <row r="6">
      <c r="A6" s="11">
        <f>Setup!H9</f>
        <v/>
      </c>
      <c r="B6" s="11">
        <f>COUNTIF(Attendance!$C$6:$C$13,A6)</f>
        <v/>
      </c>
      <c r="C6" s="11">
        <f>SUMIFS(Attendance!$AI$6:$AI$13,Attendance!$C$6:$C$13,A6)</f>
        <v/>
      </c>
      <c r="D6" s="11">
        <f>SUMIFS(Attendance!$AK$6:$AK$13,Attendance!$C$6:$C$13,A6)</f>
        <v/>
      </c>
      <c r="E6" s="11">
        <f>SUMIFS(Attendance!$AL$6:$AL$13,Attendance!$C$6:$C$13,A6)</f>
        <v/>
      </c>
      <c r="F6" s="12">
        <f>AVERAGEIFS(Attendance!$AP$6:$AP$13,Attendance!$C$6:$C$13,A6)</f>
        <v/>
      </c>
      <c r="G6" s="11">
        <f>SUMIFS(Attendance!$AQ$6:$AQ$13,Attendance!$C$6:$C$13,A6)</f>
        <v/>
      </c>
    </row>
    <row r="7">
      <c r="A7" s="11">
        <f>Setup!H10</f>
        <v/>
      </c>
      <c r="B7" s="11">
        <f>COUNTIF(Attendance!$C$6:$C$13,A7)</f>
        <v/>
      </c>
      <c r="C7" s="11">
        <f>SUMIFS(Attendance!$AI$6:$AI$13,Attendance!$C$6:$C$13,A7)</f>
        <v/>
      </c>
      <c r="D7" s="11">
        <f>SUMIFS(Attendance!$AK$6:$AK$13,Attendance!$C$6:$C$13,A7)</f>
        <v/>
      </c>
      <c r="E7" s="11">
        <f>SUMIFS(Attendance!$AL$6:$AL$13,Attendance!$C$6:$C$13,A7)</f>
        <v/>
      </c>
      <c r="F7" s="12">
        <f>AVERAGEIFS(Attendance!$AP$6:$AP$13,Attendance!$C$6:$C$13,A7)</f>
        <v/>
      </c>
      <c r="G7" s="11">
        <f>SUMIFS(Attendance!$AQ$6:$AQ$13,Attendance!$C$6:$C$13,A7)</f>
        <v/>
      </c>
    </row>
    <row r="8">
      <c r="A8" s="11">
        <f>Setup!H11</f>
        <v/>
      </c>
      <c r="B8" s="11">
        <f>COUNTIF(Attendance!$C$6:$C$13,A8)</f>
        <v/>
      </c>
      <c r="C8" s="11">
        <f>SUMIFS(Attendance!$AI$6:$AI$13,Attendance!$C$6:$C$13,A8)</f>
        <v/>
      </c>
      <c r="D8" s="11">
        <f>SUMIFS(Attendance!$AK$6:$AK$13,Attendance!$C$6:$C$13,A8)</f>
        <v/>
      </c>
      <c r="E8" s="11">
        <f>SUMIFS(Attendance!$AL$6:$AL$13,Attendance!$C$6:$C$13,A8)</f>
        <v/>
      </c>
      <c r="F8" s="12">
        <f>AVERAGEIFS(Attendance!$AP$6:$AP$13,Attendance!$C$6:$C$13,A8)</f>
        <v/>
      </c>
      <c r="G8" s="11">
        <f>SUMIFS(Attendance!$AQ$6:$AQ$13,Attendance!$C$6:$C$13,A8)</f>
        <v/>
      </c>
    </row>
    <row r="9">
      <c r="A9" s="14" t="inlineStr">
        <is>
          <t>Total</t>
        </is>
      </c>
      <c r="B9" s="14">
        <f>SUM(B5:B8)</f>
        <v/>
      </c>
      <c r="C9" s="14">
        <f>SUM(C5:C8)</f>
        <v/>
      </c>
      <c r="D9" s="14">
        <f>SUM(D5:D8)</f>
        <v/>
      </c>
      <c r="E9" s="14">
        <f>SUM(E5:E8)</f>
        <v/>
      </c>
      <c r="G9" s="14">
        <f>SUM(G5:G8)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17" customWidth="1" min="1" max="1"/>
    <col width="17" customWidth="1" min="2" max="2"/>
    <col width="17" customWidth="1" min="3" max="3"/>
    <col width="17" customWidth="1" min="4" max="4"/>
    <col width="17" customWidth="1" min="5" max="5"/>
    <col width="17" customWidth="1" min="6" max="6"/>
  </cols>
  <sheetData>
    <row r="1">
      <c r="A1" s="1" t="inlineStr">
        <is>
          <t>Attendance dashboard: October 2026</t>
        </is>
      </c>
    </row>
    <row r="2">
      <c r="A2" s="2" t="inlineStr">
        <is>
          <t>Every number is a formula over the other sheets.</t>
        </is>
      </c>
    </row>
    <row r="4" ht="32" customHeight="1">
      <c r="A4" s="7" t="inlineStr">
        <is>
          <t>Employees</t>
        </is>
      </c>
      <c r="B4" s="7" t="inlineStr">
        <is>
          <t>Average attendance</t>
        </is>
      </c>
      <c r="C4" s="7" t="inlineStr">
        <is>
          <t>Absent days (all)</t>
        </is>
      </c>
      <c r="D4" s="7" t="inlineStr">
        <is>
          <t>Below 90% attendance</t>
        </is>
      </c>
      <c r="E4" s="7" t="inlineStr">
        <is>
          <t>Late marks</t>
        </is>
      </c>
      <c r="F4" s="7" t="inlineStr">
        <is>
          <t>Low leave balance</t>
        </is>
      </c>
    </row>
    <row r="5" ht="30" customHeight="1">
      <c r="A5" s="15">
        <f>COUNTA(Attendance!A6:A13)</f>
        <v/>
      </c>
      <c r="B5" s="16">
        <f>AVERAGE(Attendance!$AP$6:$AP$13)</f>
        <v/>
      </c>
      <c r="C5" s="15">
        <f>SUM(Attendance!$AK$6:$AK$13)</f>
        <v/>
      </c>
      <c r="D5" s="15">
        <f>COUNTIF(Attendance!$AP$6:$AP$13,"&lt;0.9")</f>
        <v/>
      </c>
      <c r="E5" s="15">
        <f>SUM(Attendance!$AQ$6:$AQ$13)</f>
        <v/>
      </c>
      <c r="F5" s="15">
        <f>COUNTIF(Leave!F5:F12,"Low")</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2026-10-17T05:37:24Z</dcterms:created>
  <dcterms:modified xmlns:dcterms="http://purl.org/dc/terms/" xmlns:xsi="http://www.w3.org/2001/XMLSchema-instance" xsi:type="dcterms:W3CDTF">2026-10-17T05:37:24Z</dcterms:modified>
</cp:coreProperties>
</file>