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Shipments" sheetId="3" state="visible" r:id="rId3"/>
    <sheet xmlns:r="http://schemas.openxmlformats.org/officeDocument/2006/relationships" name="Account bill" sheetId="4" state="visible" r:id="rId4"/>
    <sheet xmlns:r="http://schemas.openxmlformats.org/officeDocument/2006/relationships" name="Report" sheetId="5" state="visible" r:id="rId5"/>
    <sheet xmlns:r="http://schemas.openxmlformats.org/officeDocument/2006/relationships" name="Consignment note" sheetId="6" state="visible" r:id="rId6"/>
    <sheet xmlns:r="http://schemas.openxmlformats.org/officeDocument/2006/relationships" name="Dashboard" sheetId="7" state="visible" r:id="rId7"/>
  </sheets>
  <definedNames>
    <definedName name="_xlnm.Print_Area" localSheetId="5">'Consignment note'!$A$1:$B$16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 h:mm:ss"/>
    <numFmt numFmtId="165" formatCode="DD-MM-YYYY"/>
    <numFmt numFmtId="166" formatCode="0.0%"/>
    <numFmt numFmtId="167" formatCode="0.0"/>
    <numFmt numFmtId="168" formatCode="[$₹-4009]#,##,##0;[Red]-[$₹-4009]#,##,##0"/>
    <numFmt numFmtId="169" formatCode="[$₹-4009]#,##,##0.0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166" fontId="0" fillId="2" borderId="1" pivotButton="0" quotePrefix="0" xfId="0"/>
    <xf numFmtId="167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2" borderId="1" pivotButton="0" quotePrefix="0" xfId="0"/>
    <xf numFmtId="168" fontId="0" fillId="2" borderId="1" pivotButton="0" quotePrefix="0" xfId="0"/>
    <xf numFmtId="0" fontId="0" fillId="4" borderId="1" pivotButton="0" quotePrefix="0" xfId="0"/>
    <xf numFmtId="167" fontId="0" fillId="4" borderId="1" pivotButton="0" quotePrefix="0" xfId="0"/>
    <xf numFmtId="168" fontId="0" fillId="4" borderId="1" pivotButton="0" quotePrefix="0" xfId="0"/>
    <xf numFmtId="169" fontId="0" fillId="4" borderId="1" pivotButton="0" quotePrefix="0" xfId="0"/>
    <xf numFmtId="165" fontId="0" fillId="4" borderId="1" pivotButton="0" quotePrefix="0" xfId="0"/>
    <xf numFmtId="0" fontId="3" fillId="5" borderId="1" pivotButton="0" quotePrefix="0" xfId="0"/>
    <xf numFmtId="167" fontId="3" fillId="5" borderId="1" pivotButton="0" quotePrefix="0" xfId="0"/>
    <xf numFmtId="168" fontId="3" fillId="5" borderId="1" pivotButton="0" quotePrefix="0" xfId="0"/>
    <xf numFmtId="169" fontId="3" fillId="5" borderId="1" pivotButton="0" quotePrefix="0" xfId="0"/>
    <xf numFmtId="166" fontId="0" fillId="4" borderId="1" pivotButton="0" quotePrefix="0" xfId="0"/>
    <xf numFmtId="0" fontId="0" fillId="0" borderId="1" pivotButton="0" quotePrefix="0" xfId="0"/>
    <xf numFmtId="0" fontId="4" fillId="4" borderId="1" applyAlignment="1" pivotButton="0" quotePrefix="0" xfId="0">
      <alignment horizontal="center"/>
    </xf>
    <xf numFmtId="167" fontId="4" fillId="4" borderId="1" applyAlignment="1" pivotButton="0" quotePrefix="0" xfId="0">
      <alignment horizontal="center"/>
    </xf>
    <xf numFmtId="168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Shipments by zone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'Report'!$A$5:$A$7</f>
            </numRef>
          </cat>
          <val>
            <numRef>
              <f>'Report'!$B$5:$B$7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Billing by account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'Account bill'!$A$5:$A$8</f>
            </numRef>
          </cat>
          <val>
            <numRef>
              <f>'Account bill'!$G$5:$G$8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Courier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(zone rate chart, fuel, GST, slab), Shipments, Account bill, Report, Consignment note (printable), Dashboard.</t>
        </is>
      </c>
    </row>
    <row r="8">
      <c r="A8" t="inlineStr">
        <is>
          <t>Weigh every parcel at the counter and type the actual weight; the sheet rounds it up to the slab.</t>
        </is>
      </c>
    </row>
    <row r="9">
      <c r="A9" t="inlineStr">
        <is>
          <t>Type the delivered date from the delivery proof, not from memory.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4" customWidth="1" min="3" max="3"/>
    <col width="10" customWidth="1" min="4" max="4"/>
    <col width="16" customWidth="1" min="6" max="6"/>
  </cols>
  <sheetData>
    <row r="1">
      <c r="A1" s="1" t="inlineStr">
        <is>
          <t>Courier Management System: Setup (Amir Express Courier, Sambhaji Nagar)</t>
        </is>
      </c>
    </row>
    <row r="2">
      <c r="A2" s="2" t="inlineStr">
        <is>
          <t>Made-up rate chart, accounts and shipments for October 2026. GST rate is an input; confirm it with your accountant.</t>
        </is>
      </c>
    </row>
    <row r="3">
      <c r="A3" s="3" t="inlineStr">
        <is>
          <t>As-of date</t>
        </is>
      </c>
      <c r="B3" s="4" t="n">
        <v>46312</v>
      </c>
    </row>
    <row r="4">
      <c r="A4" s="3" t="inlineStr">
        <is>
          <t>Fuel surcharge</t>
        </is>
      </c>
      <c r="B4" s="5" t="n">
        <v>0.1</v>
      </c>
    </row>
    <row r="5">
      <c r="A5" s="3" t="inlineStr">
        <is>
          <t>GST</t>
        </is>
      </c>
      <c r="B5" s="5" t="n">
        <v>0.18</v>
      </c>
    </row>
    <row r="6">
      <c r="A6" s="3" t="inlineStr">
        <is>
          <t>Weight slab (kg)</t>
        </is>
      </c>
      <c r="B6" s="6" t="n">
        <v>0.5</v>
      </c>
    </row>
    <row r="8">
      <c r="A8" s="7" t="inlineStr">
        <is>
          <t>Zone</t>
        </is>
      </c>
      <c r="B8" s="7" t="inlineStr">
        <is>
          <t>First slab (₹)</t>
        </is>
      </c>
      <c r="C8" s="7" t="inlineStr">
        <is>
          <t>Each extra slab (₹)</t>
        </is>
      </c>
      <c r="D8" s="7" t="inlineStr">
        <is>
          <t>Promised days</t>
        </is>
      </c>
      <c r="F8" s="8" t="inlineStr">
        <is>
          <t>Accounts</t>
        </is>
      </c>
    </row>
    <row r="9">
      <c r="A9" s="9" t="inlineStr">
        <is>
          <t>Local</t>
        </is>
      </c>
      <c r="B9" s="10" t="n">
        <v>40</v>
      </c>
      <c r="C9" s="10" t="n">
        <v>20</v>
      </c>
      <c r="D9" s="9" t="n">
        <v>1</v>
      </c>
      <c r="F9" s="9" t="inlineStr">
        <is>
          <t>Raja Traders</t>
        </is>
      </c>
    </row>
    <row r="10">
      <c r="A10" s="9" t="inlineStr">
        <is>
          <t>Within state</t>
        </is>
      </c>
      <c r="B10" s="10" t="n">
        <v>60</v>
      </c>
      <c r="C10" s="10" t="n">
        <v>30</v>
      </c>
      <c r="D10" s="9" t="n">
        <v>2</v>
      </c>
      <c r="F10" s="9" t="inlineStr">
        <is>
          <t>Zoya Boutique</t>
        </is>
      </c>
    </row>
    <row r="11">
      <c r="A11" s="9" t="inlineStr">
        <is>
          <t>National</t>
        </is>
      </c>
      <c r="B11" s="10" t="n">
        <v>90</v>
      </c>
      <c r="C11" s="10" t="n">
        <v>50</v>
      </c>
      <c r="D11" s="9" t="n">
        <v>4</v>
      </c>
      <c r="F11" s="9" t="inlineStr">
        <is>
          <t>Ruhi Book House</t>
        </is>
      </c>
    </row>
    <row r="12">
      <c r="F12" s="9" t="inlineStr">
        <is>
          <t>Walk-in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1" customWidth="1" min="2" max="2"/>
    <col width="15" customWidth="1" min="3" max="3"/>
    <col width="12" customWidth="1" min="4" max="4"/>
    <col width="8" customWidth="1" min="5" max="5"/>
    <col width="10" customWidth="1" min="6" max="6"/>
    <col width="9" customWidth="1" min="7" max="7"/>
    <col width="8" customWidth="1" min="8" max="8"/>
    <col width="8" customWidth="1" min="9" max="9"/>
    <col width="9" customWidth="1" min="10" max="10"/>
    <col width="11" customWidth="1" min="11" max="11"/>
    <col width="11" customWidth="1" min="12" max="12"/>
    <col width="10" customWidth="1" min="13" max="13"/>
  </cols>
  <sheetData>
    <row r="1">
      <c r="A1" s="1" t="inlineStr">
        <is>
          <t>Shipments</t>
        </is>
      </c>
    </row>
    <row r="2">
      <c r="A2" s="2" t="inlineStr">
        <is>
          <t>Chargeable weight rounds up to the slab. Freight = first slab + extra slabs × rate. Status from promised and delivered dates.</t>
        </is>
      </c>
    </row>
    <row r="4">
      <c r="A4" s="7" t="inlineStr">
        <is>
          <t>AWB no</t>
        </is>
      </c>
      <c r="B4" s="7" t="inlineStr">
        <is>
          <t>Date</t>
        </is>
      </c>
      <c r="C4" s="7" t="inlineStr">
        <is>
          <t>Account</t>
        </is>
      </c>
      <c r="D4" s="7" t="inlineStr">
        <is>
          <t>Zone</t>
        </is>
      </c>
      <c r="E4" s="7" t="inlineStr">
        <is>
          <t>Weight (kg)</t>
        </is>
      </c>
      <c r="F4" s="7" t="inlineStr">
        <is>
          <t>Chargeable (kg)</t>
        </is>
      </c>
      <c r="G4" s="7" t="inlineStr">
        <is>
          <t>Freight (₹)</t>
        </is>
      </c>
      <c r="H4" s="7" t="inlineStr">
        <is>
          <t>Fuel (₹)</t>
        </is>
      </c>
      <c r="I4" s="7" t="inlineStr">
        <is>
          <t>GST (₹)</t>
        </is>
      </c>
      <c r="J4" s="7" t="inlineStr">
        <is>
          <t>Total (₹)</t>
        </is>
      </c>
      <c r="K4" s="7" t="inlineStr">
        <is>
          <t>Promised</t>
        </is>
      </c>
      <c r="L4" s="7" t="inlineStr">
        <is>
          <t>Delivered</t>
        </is>
      </c>
      <c r="M4" s="7" t="inlineStr">
        <is>
          <t>Status</t>
        </is>
      </c>
    </row>
    <row r="5">
      <c r="A5" s="11">
        <f>"AE"&amp;TEXT(ROW()-4,"00000")</f>
        <v/>
      </c>
      <c r="B5" s="4" t="n">
        <v>46296</v>
      </c>
      <c r="C5" s="9" t="inlineStr">
        <is>
          <t>Ruhi Book House</t>
        </is>
      </c>
      <c r="D5" s="9" t="inlineStr">
        <is>
          <t>Local</t>
        </is>
      </c>
      <c r="E5" s="6" t="n">
        <v>0.5</v>
      </c>
      <c r="F5" s="12">
        <f>ROUNDUP(E5/Setup!$B$6,0)*Setup!$B$6</f>
        <v/>
      </c>
      <c r="G5" s="13">
        <f>_xlfn.XLOOKUP(D5,Setup!$A$9:$A$11,Setup!$B$9:$B$11,0)+(F5/Setup!$B$6-1)*_xlfn.XLOOKUP(D5,Setup!$A$9:$A$11,Setup!$C$9:$C$11,0)</f>
        <v/>
      </c>
      <c r="H5" s="14">
        <f>ROUND(G5*Setup!$B$4,2)</f>
        <v/>
      </c>
      <c r="I5" s="14">
        <f>ROUND((G5+H5)*Setup!$B$5,2)</f>
        <v/>
      </c>
      <c r="J5" s="14">
        <f>G5+H5+I5</f>
        <v/>
      </c>
      <c r="K5" s="15">
        <f>B5+_xlfn.XLOOKUP(D5,Setup!$A$9:$A$11,Setup!$D$9:$D$11,0)</f>
        <v/>
      </c>
      <c r="L5" s="4" t="n">
        <v>46297</v>
      </c>
      <c r="M5" s="11">
        <f>IF(L5&lt;&gt;"",IF(L5&lt;=K5,"On time","Late"),IF(K5&lt;Setup!$B$3,"Delayed","In transit"))</f>
        <v/>
      </c>
    </row>
    <row r="6">
      <c r="A6" s="11">
        <f>"AE"&amp;TEXT(ROW()-4,"00000")</f>
        <v/>
      </c>
      <c r="B6" s="4" t="n">
        <v>46297</v>
      </c>
      <c r="C6" s="9" t="inlineStr">
        <is>
          <t>Walk-in</t>
        </is>
      </c>
      <c r="D6" s="9" t="inlineStr">
        <is>
          <t>Local</t>
        </is>
      </c>
      <c r="E6" s="6" t="n">
        <v>1.5</v>
      </c>
      <c r="F6" s="12">
        <f>ROUNDUP(E6/Setup!$B$6,0)*Setup!$B$6</f>
        <v/>
      </c>
      <c r="G6" s="13">
        <f>_xlfn.XLOOKUP(D6,Setup!$A$9:$A$11,Setup!$B$9:$B$11,0)+(F6/Setup!$B$6-1)*_xlfn.XLOOKUP(D6,Setup!$A$9:$A$11,Setup!$C$9:$C$11,0)</f>
        <v/>
      </c>
      <c r="H6" s="14">
        <f>ROUND(G6*Setup!$B$4,2)</f>
        <v/>
      </c>
      <c r="I6" s="14">
        <f>ROUND((G6+H6)*Setup!$B$5,2)</f>
        <v/>
      </c>
      <c r="J6" s="14">
        <f>G6+H6+I6</f>
        <v/>
      </c>
      <c r="K6" s="15">
        <f>B6+_xlfn.XLOOKUP(D6,Setup!$A$9:$A$11,Setup!$D$9:$D$11,0)</f>
        <v/>
      </c>
      <c r="L6" s="4" t="n">
        <v>46298</v>
      </c>
      <c r="M6" s="11">
        <f>IF(L6&lt;&gt;"",IF(L6&lt;=K6,"On time","Late"),IF(K6&lt;Setup!$B$3,"Delayed","In transit"))</f>
        <v/>
      </c>
    </row>
    <row r="7">
      <c r="A7" s="11">
        <f>"AE"&amp;TEXT(ROW()-4,"00000")</f>
        <v/>
      </c>
      <c r="B7" s="4" t="n">
        <v>46297</v>
      </c>
      <c r="C7" s="9" t="inlineStr">
        <is>
          <t>Walk-in</t>
        </is>
      </c>
      <c r="D7" s="9" t="inlineStr">
        <is>
          <t>Within state</t>
        </is>
      </c>
      <c r="E7" s="6" t="n">
        <v>1.5</v>
      </c>
      <c r="F7" s="12">
        <f>ROUNDUP(E7/Setup!$B$6,0)*Setup!$B$6</f>
        <v/>
      </c>
      <c r="G7" s="13">
        <f>_xlfn.XLOOKUP(D7,Setup!$A$9:$A$11,Setup!$B$9:$B$11,0)+(F7/Setup!$B$6-1)*_xlfn.XLOOKUP(D7,Setup!$A$9:$A$11,Setup!$C$9:$C$11,0)</f>
        <v/>
      </c>
      <c r="H7" s="14">
        <f>ROUND(G7*Setup!$B$4,2)</f>
        <v/>
      </c>
      <c r="I7" s="14">
        <f>ROUND((G7+H7)*Setup!$B$5,2)</f>
        <v/>
      </c>
      <c r="J7" s="14">
        <f>G7+H7+I7</f>
        <v/>
      </c>
      <c r="K7" s="15">
        <f>B7+_xlfn.XLOOKUP(D7,Setup!$A$9:$A$11,Setup!$D$9:$D$11,0)</f>
        <v/>
      </c>
      <c r="L7" s="4" t="n">
        <v>46299</v>
      </c>
      <c r="M7" s="11">
        <f>IF(L7&lt;&gt;"",IF(L7&lt;=K7,"On time","Late"),IF(K7&lt;Setup!$B$3,"Delayed","In transit"))</f>
        <v/>
      </c>
    </row>
    <row r="8">
      <c r="A8" s="11">
        <f>"AE"&amp;TEXT(ROW()-4,"00000")</f>
        <v/>
      </c>
      <c r="B8" s="4" t="n">
        <v>46298</v>
      </c>
      <c r="C8" s="9" t="inlineStr">
        <is>
          <t>Zoya Boutique</t>
        </is>
      </c>
      <c r="D8" s="9" t="inlineStr">
        <is>
          <t>Within state</t>
        </is>
      </c>
      <c r="E8" s="6" t="n">
        <v>0.2</v>
      </c>
      <c r="F8" s="12">
        <f>ROUNDUP(E8/Setup!$B$6,0)*Setup!$B$6</f>
        <v/>
      </c>
      <c r="G8" s="13">
        <f>_xlfn.XLOOKUP(D8,Setup!$A$9:$A$11,Setup!$B$9:$B$11,0)+(F8/Setup!$B$6-1)*_xlfn.XLOOKUP(D8,Setup!$A$9:$A$11,Setup!$C$9:$C$11,0)</f>
        <v/>
      </c>
      <c r="H8" s="14">
        <f>ROUND(G8*Setup!$B$4,2)</f>
        <v/>
      </c>
      <c r="I8" s="14">
        <f>ROUND((G8+H8)*Setup!$B$5,2)</f>
        <v/>
      </c>
      <c r="J8" s="14">
        <f>G8+H8+I8</f>
        <v/>
      </c>
      <c r="K8" s="15">
        <f>B8+_xlfn.XLOOKUP(D8,Setup!$A$9:$A$11,Setup!$D$9:$D$11,0)</f>
        <v/>
      </c>
      <c r="L8" s="4" t="n">
        <v>46299</v>
      </c>
      <c r="M8" s="11">
        <f>IF(L8&lt;&gt;"",IF(L8&lt;=K8,"On time","Late"),IF(K8&lt;Setup!$B$3,"Delayed","In transit"))</f>
        <v/>
      </c>
    </row>
    <row r="9">
      <c r="A9" s="11">
        <f>"AE"&amp;TEXT(ROW()-4,"00000")</f>
        <v/>
      </c>
      <c r="B9" s="4" t="n">
        <v>46299</v>
      </c>
      <c r="C9" s="9" t="inlineStr">
        <is>
          <t>Walk-in</t>
        </is>
      </c>
      <c r="D9" s="9" t="inlineStr">
        <is>
          <t>Local</t>
        </is>
      </c>
      <c r="E9" s="6" t="n">
        <v>0.2</v>
      </c>
      <c r="F9" s="12">
        <f>ROUNDUP(E9/Setup!$B$6,0)*Setup!$B$6</f>
        <v/>
      </c>
      <c r="G9" s="13">
        <f>_xlfn.XLOOKUP(D9,Setup!$A$9:$A$11,Setup!$B$9:$B$11,0)+(F9/Setup!$B$6-1)*_xlfn.XLOOKUP(D9,Setup!$A$9:$A$11,Setup!$C$9:$C$11,0)</f>
        <v/>
      </c>
      <c r="H9" s="14">
        <f>ROUND(G9*Setup!$B$4,2)</f>
        <v/>
      </c>
      <c r="I9" s="14">
        <f>ROUND((G9+H9)*Setup!$B$5,2)</f>
        <v/>
      </c>
      <c r="J9" s="14">
        <f>G9+H9+I9</f>
        <v/>
      </c>
      <c r="K9" s="15">
        <f>B9+_xlfn.XLOOKUP(D9,Setup!$A$9:$A$11,Setup!$D$9:$D$11,0)</f>
        <v/>
      </c>
      <c r="L9" s="4" t="n">
        <v>46300</v>
      </c>
      <c r="M9" s="11">
        <f>IF(L9&lt;&gt;"",IF(L9&lt;=K9,"On time","Late"),IF(K9&lt;Setup!$B$3,"Delayed","In transit"))</f>
        <v/>
      </c>
    </row>
    <row r="10">
      <c r="A10" s="11">
        <f>"AE"&amp;TEXT(ROW()-4,"00000")</f>
        <v/>
      </c>
      <c r="B10" s="4" t="n">
        <v>46299</v>
      </c>
      <c r="C10" s="9" t="inlineStr">
        <is>
          <t>Zoya Boutique</t>
        </is>
      </c>
      <c r="D10" s="9" t="inlineStr">
        <is>
          <t>Within state</t>
        </is>
      </c>
      <c r="E10" s="6" t="n">
        <v>0.8</v>
      </c>
      <c r="F10" s="12">
        <f>ROUNDUP(E10/Setup!$B$6,0)*Setup!$B$6</f>
        <v/>
      </c>
      <c r="G10" s="13">
        <f>_xlfn.XLOOKUP(D10,Setup!$A$9:$A$11,Setup!$B$9:$B$11,0)+(F10/Setup!$B$6-1)*_xlfn.XLOOKUP(D10,Setup!$A$9:$A$11,Setup!$C$9:$C$11,0)</f>
        <v/>
      </c>
      <c r="H10" s="14">
        <f>ROUND(G10*Setup!$B$4,2)</f>
        <v/>
      </c>
      <c r="I10" s="14">
        <f>ROUND((G10+H10)*Setup!$B$5,2)</f>
        <v/>
      </c>
      <c r="J10" s="14">
        <f>G10+H10+I10</f>
        <v/>
      </c>
      <c r="K10" s="15">
        <f>B10+_xlfn.XLOOKUP(D10,Setup!$A$9:$A$11,Setup!$D$9:$D$11,0)</f>
        <v/>
      </c>
      <c r="L10" s="4" t="n">
        <v>46301</v>
      </c>
      <c r="M10" s="11">
        <f>IF(L10&lt;&gt;"",IF(L10&lt;=K10,"On time","Late"),IF(K10&lt;Setup!$B$3,"Delayed","In transit"))</f>
        <v/>
      </c>
    </row>
    <row r="11">
      <c r="A11" s="11">
        <f>"AE"&amp;TEXT(ROW()-4,"00000")</f>
        <v/>
      </c>
      <c r="B11" s="4" t="n">
        <v>46300</v>
      </c>
      <c r="C11" s="9" t="inlineStr">
        <is>
          <t>Raja Traders</t>
        </is>
      </c>
      <c r="D11" s="9" t="inlineStr">
        <is>
          <t>Within state</t>
        </is>
      </c>
      <c r="E11" s="6" t="n">
        <v>0.2</v>
      </c>
      <c r="F11" s="12">
        <f>ROUNDUP(E11/Setup!$B$6,0)*Setup!$B$6</f>
        <v/>
      </c>
      <c r="G11" s="13">
        <f>_xlfn.XLOOKUP(D11,Setup!$A$9:$A$11,Setup!$B$9:$B$11,0)+(F11/Setup!$B$6-1)*_xlfn.XLOOKUP(D11,Setup!$A$9:$A$11,Setup!$C$9:$C$11,0)</f>
        <v/>
      </c>
      <c r="H11" s="14">
        <f>ROUND(G11*Setup!$B$4,2)</f>
        <v/>
      </c>
      <c r="I11" s="14">
        <f>ROUND((G11+H11)*Setup!$B$5,2)</f>
        <v/>
      </c>
      <c r="J11" s="14">
        <f>G11+H11+I11</f>
        <v/>
      </c>
      <c r="K11" s="15">
        <f>B11+_xlfn.XLOOKUP(D11,Setup!$A$9:$A$11,Setup!$D$9:$D$11,0)</f>
        <v/>
      </c>
      <c r="L11" s="4" t="n">
        <v>46302</v>
      </c>
      <c r="M11" s="11">
        <f>IF(L11&lt;&gt;"",IF(L11&lt;=K11,"On time","Late"),IF(K11&lt;Setup!$B$3,"Delayed","In transit"))</f>
        <v/>
      </c>
    </row>
    <row r="12">
      <c r="A12" s="11">
        <f>"AE"&amp;TEXT(ROW()-4,"00000")</f>
        <v/>
      </c>
      <c r="B12" s="4" t="n">
        <v>46300</v>
      </c>
      <c r="C12" s="9" t="inlineStr">
        <is>
          <t>Zoya Boutique</t>
        </is>
      </c>
      <c r="D12" s="9" t="inlineStr">
        <is>
          <t>Within state</t>
        </is>
      </c>
      <c r="E12" s="6" t="n">
        <v>1.5</v>
      </c>
      <c r="F12" s="12">
        <f>ROUNDUP(E12/Setup!$B$6,0)*Setup!$B$6</f>
        <v/>
      </c>
      <c r="G12" s="13">
        <f>_xlfn.XLOOKUP(D12,Setup!$A$9:$A$11,Setup!$B$9:$B$11,0)+(F12/Setup!$B$6-1)*_xlfn.XLOOKUP(D12,Setup!$A$9:$A$11,Setup!$C$9:$C$11,0)</f>
        <v/>
      </c>
      <c r="H12" s="14">
        <f>ROUND(G12*Setup!$B$4,2)</f>
        <v/>
      </c>
      <c r="I12" s="14">
        <f>ROUND((G12+H12)*Setup!$B$5,2)</f>
        <v/>
      </c>
      <c r="J12" s="14">
        <f>G12+H12+I12</f>
        <v/>
      </c>
      <c r="K12" s="15">
        <f>B12+_xlfn.XLOOKUP(D12,Setup!$A$9:$A$11,Setup!$D$9:$D$11,0)</f>
        <v/>
      </c>
      <c r="L12" s="4" t="n">
        <v>46301</v>
      </c>
      <c r="M12" s="11">
        <f>IF(L12&lt;&gt;"",IF(L12&lt;=K12,"On time","Late"),IF(K12&lt;Setup!$B$3,"Delayed","In transit"))</f>
        <v/>
      </c>
    </row>
    <row r="13">
      <c r="A13" s="11">
        <f>"AE"&amp;TEXT(ROW()-4,"00000")</f>
        <v/>
      </c>
      <c r="B13" s="4" t="n">
        <v>46301</v>
      </c>
      <c r="C13" s="9" t="inlineStr">
        <is>
          <t>Zoya Boutique</t>
        </is>
      </c>
      <c r="D13" s="9" t="inlineStr">
        <is>
          <t>Local</t>
        </is>
      </c>
      <c r="E13" s="6" t="n">
        <v>1.2</v>
      </c>
      <c r="F13" s="12">
        <f>ROUNDUP(E13/Setup!$B$6,0)*Setup!$B$6</f>
        <v/>
      </c>
      <c r="G13" s="13">
        <f>_xlfn.XLOOKUP(D13,Setup!$A$9:$A$11,Setup!$B$9:$B$11,0)+(F13/Setup!$B$6-1)*_xlfn.XLOOKUP(D13,Setup!$A$9:$A$11,Setup!$C$9:$C$11,0)</f>
        <v/>
      </c>
      <c r="H13" s="14">
        <f>ROUND(G13*Setup!$B$4,2)</f>
        <v/>
      </c>
      <c r="I13" s="14">
        <f>ROUND((G13+H13)*Setup!$B$5,2)</f>
        <v/>
      </c>
      <c r="J13" s="14">
        <f>G13+H13+I13</f>
        <v/>
      </c>
      <c r="K13" s="15">
        <f>B13+_xlfn.XLOOKUP(D13,Setup!$A$9:$A$11,Setup!$D$9:$D$11,0)</f>
        <v/>
      </c>
      <c r="L13" s="4" t="n">
        <v>46302</v>
      </c>
      <c r="M13" s="11">
        <f>IF(L13&lt;&gt;"",IF(L13&lt;=K13,"On time","Late"),IF(K13&lt;Setup!$B$3,"Delayed","In transit"))</f>
        <v/>
      </c>
    </row>
    <row r="14">
      <c r="A14" s="11">
        <f>"AE"&amp;TEXT(ROW()-4,"00000")</f>
        <v/>
      </c>
      <c r="B14" s="4" t="n">
        <v>46302</v>
      </c>
      <c r="C14" s="9" t="inlineStr">
        <is>
          <t>Raja Traders</t>
        </is>
      </c>
      <c r="D14" s="9" t="inlineStr">
        <is>
          <t>Within state</t>
        </is>
      </c>
      <c r="E14" s="6" t="n">
        <v>3</v>
      </c>
      <c r="F14" s="12">
        <f>ROUNDUP(E14/Setup!$B$6,0)*Setup!$B$6</f>
        <v/>
      </c>
      <c r="G14" s="13">
        <f>_xlfn.XLOOKUP(D14,Setup!$A$9:$A$11,Setup!$B$9:$B$11,0)+(F14/Setup!$B$6-1)*_xlfn.XLOOKUP(D14,Setup!$A$9:$A$11,Setup!$C$9:$C$11,0)</f>
        <v/>
      </c>
      <c r="H14" s="14">
        <f>ROUND(G14*Setup!$B$4,2)</f>
        <v/>
      </c>
      <c r="I14" s="14">
        <f>ROUND((G14+H14)*Setup!$B$5,2)</f>
        <v/>
      </c>
      <c r="J14" s="14">
        <f>G14+H14+I14</f>
        <v/>
      </c>
      <c r="K14" s="15">
        <f>B14+_xlfn.XLOOKUP(D14,Setup!$A$9:$A$11,Setup!$D$9:$D$11,0)</f>
        <v/>
      </c>
      <c r="L14" s="4" t="n">
        <v>46304</v>
      </c>
      <c r="M14" s="11">
        <f>IF(L14&lt;&gt;"",IF(L14&lt;=K14,"On time","Late"),IF(K14&lt;Setup!$B$3,"Delayed","In transit"))</f>
        <v/>
      </c>
    </row>
    <row r="15">
      <c r="A15" s="11">
        <f>"AE"&amp;TEXT(ROW()-4,"00000")</f>
        <v/>
      </c>
      <c r="B15" s="4" t="n">
        <v>46303</v>
      </c>
      <c r="C15" s="9" t="inlineStr">
        <is>
          <t>Ruhi Book House</t>
        </is>
      </c>
      <c r="D15" s="9" t="inlineStr">
        <is>
          <t>Within state</t>
        </is>
      </c>
      <c r="E15" s="6" t="n">
        <v>0.2</v>
      </c>
      <c r="F15" s="12">
        <f>ROUNDUP(E15/Setup!$B$6,0)*Setup!$B$6</f>
        <v/>
      </c>
      <c r="G15" s="13">
        <f>_xlfn.XLOOKUP(D15,Setup!$A$9:$A$11,Setup!$B$9:$B$11,0)+(F15/Setup!$B$6-1)*_xlfn.XLOOKUP(D15,Setup!$A$9:$A$11,Setup!$C$9:$C$11,0)</f>
        <v/>
      </c>
      <c r="H15" s="14">
        <f>ROUND(G15*Setup!$B$4,2)</f>
        <v/>
      </c>
      <c r="I15" s="14">
        <f>ROUND((G15+H15)*Setup!$B$5,2)</f>
        <v/>
      </c>
      <c r="J15" s="14">
        <f>G15+H15+I15</f>
        <v/>
      </c>
      <c r="K15" s="15">
        <f>B15+_xlfn.XLOOKUP(D15,Setup!$A$9:$A$11,Setup!$D$9:$D$11,0)</f>
        <v/>
      </c>
      <c r="L15" s="4" t="n">
        <v>46305</v>
      </c>
      <c r="M15" s="11">
        <f>IF(L15&lt;&gt;"",IF(L15&lt;=K15,"On time","Late"),IF(K15&lt;Setup!$B$3,"Delayed","In transit"))</f>
        <v/>
      </c>
    </row>
    <row r="16">
      <c r="A16" s="11">
        <f>"AE"&amp;TEXT(ROW()-4,"00000")</f>
        <v/>
      </c>
      <c r="B16" s="4" t="n">
        <v>46304</v>
      </c>
      <c r="C16" s="9" t="inlineStr">
        <is>
          <t>Walk-in</t>
        </is>
      </c>
      <c r="D16" s="9" t="inlineStr">
        <is>
          <t>National</t>
        </is>
      </c>
      <c r="E16" s="6" t="n">
        <v>2.3</v>
      </c>
      <c r="F16" s="12">
        <f>ROUNDUP(E16/Setup!$B$6,0)*Setup!$B$6</f>
        <v/>
      </c>
      <c r="G16" s="13">
        <f>_xlfn.XLOOKUP(D16,Setup!$A$9:$A$11,Setup!$B$9:$B$11,0)+(F16/Setup!$B$6-1)*_xlfn.XLOOKUP(D16,Setup!$A$9:$A$11,Setup!$C$9:$C$11,0)</f>
        <v/>
      </c>
      <c r="H16" s="14">
        <f>ROUND(G16*Setup!$B$4,2)</f>
        <v/>
      </c>
      <c r="I16" s="14">
        <f>ROUND((G16+H16)*Setup!$B$5,2)</f>
        <v/>
      </c>
      <c r="J16" s="14">
        <f>G16+H16+I16</f>
        <v/>
      </c>
      <c r="K16" s="15">
        <f>B16+_xlfn.XLOOKUP(D16,Setup!$A$9:$A$11,Setup!$D$9:$D$11,0)</f>
        <v/>
      </c>
      <c r="L16" s="4" t="n">
        <v>46307</v>
      </c>
      <c r="M16" s="11">
        <f>IF(L16&lt;&gt;"",IF(L16&lt;=K16,"On time","Late"),IF(K16&lt;Setup!$B$3,"Delayed","In transit"))</f>
        <v/>
      </c>
    </row>
    <row r="17">
      <c r="A17" s="11">
        <f>"AE"&amp;TEXT(ROW()-4,"00000")</f>
        <v/>
      </c>
      <c r="B17" s="4" t="n">
        <v>46305</v>
      </c>
      <c r="C17" s="9" t="inlineStr">
        <is>
          <t>Raja Traders</t>
        </is>
      </c>
      <c r="D17" s="9" t="inlineStr">
        <is>
          <t>National</t>
        </is>
      </c>
      <c r="E17" s="6" t="n">
        <v>1.5</v>
      </c>
      <c r="F17" s="12">
        <f>ROUNDUP(E17/Setup!$B$6,0)*Setup!$B$6</f>
        <v/>
      </c>
      <c r="G17" s="13">
        <f>_xlfn.XLOOKUP(D17,Setup!$A$9:$A$11,Setup!$B$9:$B$11,0)+(F17/Setup!$B$6-1)*_xlfn.XLOOKUP(D17,Setup!$A$9:$A$11,Setup!$C$9:$C$11,0)</f>
        <v/>
      </c>
      <c r="H17" s="14">
        <f>ROUND(G17*Setup!$B$4,2)</f>
        <v/>
      </c>
      <c r="I17" s="14">
        <f>ROUND((G17+H17)*Setup!$B$5,2)</f>
        <v/>
      </c>
      <c r="J17" s="14">
        <f>G17+H17+I17</f>
        <v/>
      </c>
      <c r="K17" s="15">
        <f>B17+_xlfn.XLOOKUP(D17,Setup!$A$9:$A$11,Setup!$D$9:$D$11,0)</f>
        <v/>
      </c>
      <c r="L17" s="4" t="n">
        <v>46309</v>
      </c>
      <c r="M17" s="11">
        <f>IF(L17&lt;&gt;"",IF(L17&lt;=K17,"On time","Late"),IF(K17&lt;Setup!$B$3,"Delayed","In transit"))</f>
        <v/>
      </c>
    </row>
    <row r="18">
      <c r="A18" s="11">
        <f>"AE"&amp;TEXT(ROW()-4,"00000")</f>
        <v/>
      </c>
      <c r="B18" s="4" t="n">
        <v>46305</v>
      </c>
      <c r="C18" s="9" t="inlineStr">
        <is>
          <t>Zoya Boutique</t>
        </is>
      </c>
      <c r="D18" s="9" t="inlineStr">
        <is>
          <t>Within state</t>
        </is>
      </c>
      <c r="E18" s="6" t="n">
        <v>3</v>
      </c>
      <c r="F18" s="12">
        <f>ROUNDUP(E18/Setup!$B$6,0)*Setup!$B$6</f>
        <v/>
      </c>
      <c r="G18" s="13">
        <f>_xlfn.XLOOKUP(D18,Setup!$A$9:$A$11,Setup!$B$9:$B$11,0)+(F18/Setup!$B$6-1)*_xlfn.XLOOKUP(D18,Setup!$A$9:$A$11,Setup!$C$9:$C$11,0)</f>
        <v/>
      </c>
      <c r="H18" s="14">
        <f>ROUND(G18*Setup!$B$4,2)</f>
        <v/>
      </c>
      <c r="I18" s="14">
        <f>ROUND((G18+H18)*Setup!$B$5,2)</f>
        <v/>
      </c>
      <c r="J18" s="14">
        <f>G18+H18+I18</f>
        <v/>
      </c>
      <c r="K18" s="15">
        <f>B18+_xlfn.XLOOKUP(D18,Setup!$A$9:$A$11,Setup!$D$9:$D$11,0)</f>
        <v/>
      </c>
      <c r="L18" s="4" t="n">
        <v>46306</v>
      </c>
      <c r="M18" s="11">
        <f>IF(L18&lt;&gt;"",IF(L18&lt;=K18,"On time","Late"),IF(K18&lt;Setup!$B$3,"Delayed","In transit"))</f>
        <v/>
      </c>
    </row>
    <row r="19">
      <c r="A19" s="11">
        <f>"AE"&amp;TEXT(ROW()-4,"00000")</f>
        <v/>
      </c>
      <c r="B19" s="4" t="n">
        <v>46306</v>
      </c>
      <c r="C19" s="9" t="inlineStr">
        <is>
          <t>Ruhi Book House</t>
        </is>
      </c>
      <c r="D19" s="9" t="inlineStr">
        <is>
          <t>Within state</t>
        </is>
      </c>
      <c r="E19" s="6" t="n">
        <v>2.3</v>
      </c>
      <c r="F19" s="12">
        <f>ROUNDUP(E19/Setup!$B$6,0)*Setup!$B$6</f>
        <v/>
      </c>
      <c r="G19" s="13">
        <f>_xlfn.XLOOKUP(D19,Setup!$A$9:$A$11,Setup!$B$9:$B$11,0)+(F19/Setup!$B$6-1)*_xlfn.XLOOKUP(D19,Setup!$A$9:$A$11,Setup!$C$9:$C$11,0)</f>
        <v/>
      </c>
      <c r="H19" s="14">
        <f>ROUND(G19*Setup!$B$4,2)</f>
        <v/>
      </c>
      <c r="I19" s="14">
        <f>ROUND((G19+H19)*Setup!$B$5,2)</f>
        <v/>
      </c>
      <c r="J19" s="14">
        <f>G19+H19+I19</f>
        <v/>
      </c>
      <c r="K19" s="15">
        <f>B19+_xlfn.XLOOKUP(D19,Setup!$A$9:$A$11,Setup!$D$9:$D$11,0)</f>
        <v/>
      </c>
      <c r="L19" s="4" t="n"/>
      <c r="M19" s="11">
        <f>IF(L19&lt;&gt;"",IF(L19&lt;=K19,"On time","Late"),IF(K19&lt;Setup!$B$3,"Delayed","In transit"))</f>
        <v/>
      </c>
    </row>
    <row r="20">
      <c r="A20" s="11">
        <f>"AE"&amp;TEXT(ROW()-4,"00000")</f>
        <v/>
      </c>
      <c r="B20" s="4" t="n">
        <v>46307</v>
      </c>
      <c r="C20" s="9" t="inlineStr">
        <is>
          <t>Ruhi Book House</t>
        </is>
      </c>
      <c r="D20" s="9" t="inlineStr">
        <is>
          <t>Local</t>
        </is>
      </c>
      <c r="E20" s="6" t="n">
        <v>0.2</v>
      </c>
      <c r="F20" s="12">
        <f>ROUNDUP(E20/Setup!$B$6,0)*Setup!$B$6</f>
        <v/>
      </c>
      <c r="G20" s="13">
        <f>_xlfn.XLOOKUP(D20,Setup!$A$9:$A$11,Setup!$B$9:$B$11,0)+(F20/Setup!$B$6-1)*_xlfn.XLOOKUP(D20,Setup!$A$9:$A$11,Setup!$C$9:$C$11,0)</f>
        <v/>
      </c>
      <c r="H20" s="14">
        <f>ROUND(G20*Setup!$B$4,2)</f>
        <v/>
      </c>
      <c r="I20" s="14">
        <f>ROUND((G20+H20)*Setup!$B$5,2)</f>
        <v/>
      </c>
      <c r="J20" s="14">
        <f>G20+H20+I20</f>
        <v/>
      </c>
      <c r="K20" s="15">
        <f>B20+_xlfn.XLOOKUP(D20,Setup!$A$9:$A$11,Setup!$D$9:$D$11,0)</f>
        <v/>
      </c>
      <c r="L20" s="4" t="n">
        <v>46308</v>
      </c>
      <c r="M20" s="11">
        <f>IF(L20&lt;&gt;"",IF(L20&lt;=K20,"On time","Late"),IF(K20&lt;Setup!$B$3,"Delayed","In transit"))</f>
        <v/>
      </c>
    </row>
    <row r="21">
      <c r="A21" s="11">
        <f>"AE"&amp;TEXT(ROW()-4,"00000")</f>
        <v/>
      </c>
      <c r="B21" s="4" t="n">
        <v>46307</v>
      </c>
      <c r="C21" s="9" t="inlineStr">
        <is>
          <t>Ruhi Book House</t>
        </is>
      </c>
      <c r="D21" s="9" t="inlineStr">
        <is>
          <t>Within state</t>
        </is>
      </c>
      <c r="E21" s="6" t="n">
        <v>3</v>
      </c>
      <c r="F21" s="12">
        <f>ROUNDUP(E21/Setup!$B$6,0)*Setup!$B$6</f>
        <v/>
      </c>
      <c r="G21" s="13">
        <f>_xlfn.XLOOKUP(D21,Setup!$A$9:$A$11,Setup!$B$9:$B$11,0)+(F21/Setup!$B$6-1)*_xlfn.XLOOKUP(D21,Setup!$A$9:$A$11,Setup!$C$9:$C$11,0)</f>
        <v/>
      </c>
      <c r="H21" s="14">
        <f>ROUND(G21*Setup!$B$4,2)</f>
        <v/>
      </c>
      <c r="I21" s="14">
        <f>ROUND((G21+H21)*Setup!$B$5,2)</f>
        <v/>
      </c>
      <c r="J21" s="14">
        <f>G21+H21+I21</f>
        <v/>
      </c>
      <c r="K21" s="15">
        <f>B21+_xlfn.XLOOKUP(D21,Setup!$A$9:$A$11,Setup!$D$9:$D$11,0)</f>
        <v/>
      </c>
      <c r="L21" s="4" t="n">
        <v>46309</v>
      </c>
      <c r="M21" s="11">
        <f>IF(L21&lt;&gt;"",IF(L21&lt;=K21,"On time","Late"),IF(K21&lt;Setup!$B$3,"Delayed","In transit"))</f>
        <v/>
      </c>
    </row>
    <row r="22">
      <c r="A22" s="11">
        <f>"AE"&amp;TEXT(ROW()-4,"00000")</f>
        <v/>
      </c>
      <c r="B22" s="4" t="n">
        <v>46307</v>
      </c>
      <c r="C22" s="9" t="inlineStr">
        <is>
          <t>Zoya Boutique</t>
        </is>
      </c>
      <c r="D22" s="9" t="inlineStr">
        <is>
          <t>Within state</t>
        </is>
      </c>
      <c r="E22" s="6" t="n">
        <v>0.8</v>
      </c>
      <c r="F22" s="12">
        <f>ROUNDUP(E22/Setup!$B$6,0)*Setup!$B$6</f>
        <v/>
      </c>
      <c r="G22" s="13">
        <f>_xlfn.XLOOKUP(D22,Setup!$A$9:$A$11,Setup!$B$9:$B$11,0)+(F22/Setup!$B$6-1)*_xlfn.XLOOKUP(D22,Setup!$A$9:$A$11,Setup!$C$9:$C$11,0)</f>
        <v/>
      </c>
      <c r="H22" s="14">
        <f>ROUND(G22*Setup!$B$4,2)</f>
        <v/>
      </c>
      <c r="I22" s="14">
        <f>ROUND((G22+H22)*Setup!$B$5,2)</f>
        <v/>
      </c>
      <c r="J22" s="14">
        <f>G22+H22+I22</f>
        <v/>
      </c>
      <c r="K22" s="15">
        <f>B22+_xlfn.XLOOKUP(D22,Setup!$A$9:$A$11,Setup!$D$9:$D$11,0)</f>
        <v/>
      </c>
      <c r="L22" s="4" t="n">
        <v>46309</v>
      </c>
      <c r="M22" s="11">
        <f>IF(L22&lt;&gt;"",IF(L22&lt;=K22,"On time","Late"),IF(K22&lt;Setup!$B$3,"Delayed","In transit"))</f>
        <v/>
      </c>
    </row>
    <row r="23">
      <c r="A23" s="11">
        <f>"AE"&amp;TEXT(ROW()-4,"00000")</f>
        <v/>
      </c>
      <c r="B23" s="4" t="n">
        <v>46308</v>
      </c>
      <c r="C23" s="9" t="inlineStr">
        <is>
          <t>Walk-in</t>
        </is>
      </c>
      <c r="D23" s="9" t="inlineStr">
        <is>
          <t>Within state</t>
        </is>
      </c>
      <c r="E23" s="6" t="n">
        <v>3</v>
      </c>
      <c r="F23" s="12">
        <f>ROUNDUP(E23/Setup!$B$6,0)*Setup!$B$6</f>
        <v/>
      </c>
      <c r="G23" s="13">
        <f>_xlfn.XLOOKUP(D23,Setup!$A$9:$A$11,Setup!$B$9:$B$11,0)+(F23/Setup!$B$6-1)*_xlfn.XLOOKUP(D23,Setup!$A$9:$A$11,Setup!$C$9:$C$11,0)</f>
        <v/>
      </c>
      <c r="H23" s="14">
        <f>ROUND(G23*Setup!$B$4,2)</f>
        <v/>
      </c>
      <c r="I23" s="14">
        <f>ROUND((G23+H23)*Setup!$B$5,2)</f>
        <v/>
      </c>
      <c r="J23" s="14">
        <f>G23+H23+I23</f>
        <v/>
      </c>
      <c r="K23" s="15">
        <f>B23+_xlfn.XLOOKUP(D23,Setup!$A$9:$A$11,Setup!$D$9:$D$11,0)</f>
        <v/>
      </c>
      <c r="L23" s="4" t="n">
        <v>46311</v>
      </c>
      <c r="M23" s="11">
        <f>IF(L23&lt;&gt;"",IF(L23&lt;=K23,"On time","Late"),IF(K23&lt;Setup!$B$3,"Delayed","In transit"))</f>
        <v/>
      </c>
    </row>
    <row r="24">
      <c r="A24" s="11">
        <f>"AE"&amp;TEXT(ROW()-4,"00000")</f>
        <v/>
      </c>
      <c r="B24" s="4" t="n">
        <v>46308</v>
      </c>
      <c r="C24" s="9" t="inlineStr">
        <is>
          <t>Ruhi Book House</t>
        </is>
      </c>
      <c r="D24" s="9" t="inlineStr">
        <is>
          <t>National</t>
        </is>
      </c>
      <c r="E24" s="6" t="n">
        <v>0.4</v>
      </c>
      <c r="F24" s="12">
        <f>ROUNDUP(E24/Setup!$B$6,0)*Setup!$B$6</f>
        <v/>
      </c>
      <c r="G24" s="13">
        <f>_xlfn.XLOOKUP(D24,Setup!$A$9:$A$11,Setup!$B$9:$B$11,0)+(F24/Setup!$B$6-1)*_xlfn.XLOOKUP(D24,Setup!$A$9:$A$11,Setup!$C$9:$C$11,0)</f>
        <v/>
      </c>
      <c r="H24" s="14">
        <f>ROUND(G24*Setup!$B$4,2)</f>
        <v/>
      </c>
      <c r="I24" s="14">
        <f>ROUND((G24+H24)*Setup!$B$5,2)</f>
        <v/>
      </c>
      <c r="J24" s="14">
        <f>G24+H24+I24</f>
        <v/>
      </c>
      <c r="K24" s="15">
        <f>B24+_xlfn.XLOOKUP(D24,Setup!$A$9:$A$11,Setup!$D$9:$D$11,0)</f>
        <v/>
      </c>
      <c r="L24" s="4" t="n"/>
      <c r="M24" s="11">
        <f>IF(L24&lt;&gt;"",IF(L24&lt;=K24,"On time","Late"),IF(K24&lt;Setup!$B$3,"Delayed","In transit"))</f>
        <v/>
      </c>
    </row>
    <row r="25">
      <c r="A25" s="11">
        <f>"AE"&amp;TEXT(ROW()-4,"00000")</f>
        <v/>
      </c>
      <c r="B25" s="4" t="n">
        <v>46308</v>
      </c>
      <c r="C25" s="9" t="inlineStr">
        <is>
          <t>Walk-in</t>
        </is>
      </c>
      <c r="D25" s="9" t="inlineStr">
        <is>
          <t>Within state</t>
        </is>
      </c>
      <c r="E25" s="6" t="n">
        <v>0.4</v>
      </c>
      <c r="F25" s="12">
        <f>ROUNDUP(E25/Setup!$B$6,0)*Setup!$B$6</f>
        <v/>
      </c>
      <c r="G25" s="13">
        <f>_xlfn.XLOOKUP(D25,Setup!$A$9:$A$11,Setup!$B$9:$B$11,0)+(F25/Setup!$B$6-1)*_xlfn.XLOOKUP(D25,Setup!$A$9:$A$11,Setup!$C$9:$C$11,0)</f>
        <v/>
      </c>
      <c r="H25" s="14">
        <f>ROUND(G25*Setup!$B$4,2)</f>
        <v/>
      </c>
      <c r="I25" s="14">
        <f>ROUND((G25+H25)*Setup!$B$5,2)</f>
        <v/>
      </c>
      <c r="J25" s="14">
        <f>G25+H25+I25</f>
        <v/>
      </c>
      <c r="K25" s="15">
        <f>B25+_xlfn.XLOOKUP(D25,Setup!$A$9:$A$11,Setup!$D$9:$D$11,0)</f>
        <v/>
      </c>
      <c r="L25" s="4" t="n">
        <v>46310</v>
      </c>
      <c r="M25" s="11">
        <f>IF(L25&lt;&gt;"",IF(L25&lt;=K25,"On time","Late"),IF(K25&lt;Setup!$B$3,"Delayed","In transit"))</f>
        <v/>
      </c>
    </row>
    <row r="26">
      <c r="A26" s="11">
        <f>"AE"&amp;TEXT(ROW()-4,"00000")</f>
        <v/>
      </c>
      <c r="B26" s="4" t="n">
        <v>46309</v>
      </c>
      <c r="C26" s="9" t="inlineStr">
        <is>
          <t>Zoya Boutique</t>
        </is>
      </c>
      <c r="D26" s="9" t="inlineStr">
        <is>
          <t>National</t>
        </is>
      </c>
      <c r="E26" s="6" t="n">
        <v>0.2</v>
      </c>
      <c r="F26" s="12">
        <f>ROUNDUP(E26/Setup!$B$6,0)*Setup!$B$6</f>
        <v/>
      </c>
      <c r="G26" s="13">
        <f>_xlfn.XLOOKUP(D26,Setup!$A$9:$A$11,Setup!$B$9:$B$11,0)+(F26/Setup!$B$6-1)*_xlfn.XLOOKUP(D26,Setup!$A$9:$A$11,Setup!$C$9:$C$11,0)</f>
        <v/>
      </c>
      <c r="H26" s="14">
        <f>ROUND(G26*Setup!$B$4,2)</f>
        <v/>
      </c>
      <c r="I26" s="14">
        <f>ROUND((G26+H26)*Setup!$B$5,2)</f>
        <v/>
      </c>
      <c r="J26" s="14">
        <f>G26+H26+I26</f>
        <v/>
      </c>
      <c r="K26" s="15">
        <f>B26+_xlfn.XLOOKUP(D26,Setup!$A$9:$A$11,Setup!$D$9:$D$11,0)</f>
        <v/>
      </c>
      <c r="L26" s="4" t="n"/>
      <c r="M26" s="11">
        <f>IF(L26&lt;&gt;"",IF(L26&lt;=K26,"On time","Late"),IF(K26&lt;Setup!$B$3,"Delayed","In transit"))</f>
        <v/>
      </c>
    </row>
    <row r="27">
      <c r="A27" s="11">
        <f>"AE"&amp;TEXT(ROW()-4,"00000")</f>
        <v/>
      </c>
      <c r="B27" s="4" t="n">
        <v>46310</v>
      </c>
      <c r="C27" s="9" t="inlineStr">
        <is>
          <t>Raja Traders</t>
        </is>
      </c>
      <c r="D27" s="9" t="inlineStr">
        <is>
          <t>Local</t>
        </is>
      </c>
      <c r="E27" s="6" t="n">
        <v>2.3</v>
      </c>
      <c r="F27" s="12">
        <f>ROUNDUP(E27/Setup!$B$6,0)*Setup!$B$6</f>
        <v/>
      </c>
      <c r="G27" s="13">
        <f>_xlfn.XLOOKUP(D27,Setup!$A$9:$A$11,Setup!$B$9:$B$11,0)+(F27/Setup!$B$6-1)*_xlfn.XLOOKUP(D27,Setup!$A$9:$A$11,Setup!$C$9:$C$11,0)</f>
        <v/>
      </c>
      <c r="H27" s="14">
        <f>ROUND(G27*Setup!$B$4,2)</f>
        <v/>
      </c>
      <c r="I27" s="14">
        <f>ROUND((G27+H27)*Setup!$B$5,2)</f>
        <v/>
      </c>
      <c r="J27" s="14">
        <f>G27+H27+I27</f>
        <v/>
      </c>
      <c r="K27" s="15">
        <f>B27+_xlfn.XLOOKUP(D27,Setup!$A$9:$A$11,Setup!$D$9:$D$11,0)</f>
        <v/>
      </c>
      <c r="L27" s="4" t="n">
        <v>46311</v>
      </c>
      <c r="M27" s="11">
        <f>IF(L27&lt;&gt;"",IF(L27&lt;=K27,"On time","Late"),IF(K27&lt;Setup!$B$3,"Delayed","In transit"))</f>
        <v/>
      </c>
    </row>
    <row r="28">
      <c r="A28" s="11">
        <f>"AE"&amp;TEXT(ROW()-4,"00000")</f>
        <v/>
      </c>
      <c r="B28" s="4" t="n">
        <v>46310</v>
      </c>
      <c r="C28" s="9" t="inlineStr">
        <is>
          <t>Walk-in</t>
        </is>
      </c>
      <c r="D28" s="9" t="inlineStr">
        <is>
          <t>Within state</t>
        </is>
      </c>
      <c r="E28" s="6" t="n">
        <v>1.5</v>
      </c>
      <c r="F28" s="12">
        <f>ROUNDUP(E28/Setup!$B$6,0)*Setup!$B$6</f>
        <v/>
      </c>
      <c r="G28" s="13">
        <f>_xlfn.XLOOKUP(D28,Setup!$A$9:$A$11,Setup!$B$9:$B$11,0)+(F28/Setup!$B$6-1)*_xlfn.XLOOKUP(D28,Setup!$A$9:$A$11,Setup!$C$9:$C$11,0)</f>
        <v/>
      </c>
      <c r="H28" s="14">
        <f>ROUND(G28*Setup!$B$4,2)</f>
        <v/>
      </c>
      <c r="I28" s="14">
        <f>ROUND((G28+H28)*Setup!$B$5,2)</f>
        <v/>
      </c>
      <c r="J28" s="14">
        <f>G28+H28+I28</f>
        <v/>
      </c>
      <c r="K28" s="15">
        <f>B28+_xlfn.XLOOKUP(D28,Setup!$A$9:$A$11,Setup!$D$9:$D$11,0)</f>
        <v/>
      </c>
      <c r="L28" s="4" t="n"/>
      <c r="M28" s="11">
        <f>IF(L28&lt;&gt;"",IF(L28&lt;=K28,"On time","Late"),IF(K28&lt;Setup!$B$3,"Delayed","In transit"))</f>
        <v/>
      </c>
    </row>
    <row r="29">
      <c r="A29" s="11">
        <f>"AE"&amp;TEXT(ROW()-4,"00000")</f>
        <v/>
      </c>
      <c r="B29" s="4" t="n">
        <v>46310</v>
      </c>
      <c r="C29" s="9" t="inlineStr">
        <is>
          <t>Raja Traders</t>
        </is>
      </c>
      <c r="D29" s="9" t="inlineStr">
        <is>
          <t>Within state</t>
        </is>
      </c>
      <c r="E29" s="6" t="n">
        <v>0.4</v>
      </c>
      <c r="F29" s="12">
        <f>ROUNDUP(E29/Setup!$B$6,0)*Setup!$B$6</f>
        <v/>
      </c>
      <c r="G29" s="13">
        <f>_xlfn.XLOOKUP(D29,Setup!$A$9:$A$11,Setup!$B$9:$B$11,0)+(F29/Setup!$B$6-1)*_xlfn.XLOOKUP(D29,Setup!$A$9:$A$11,Setup!$C$9:$C$11,0)</f>
        <v/>
      </c>
      <c r="H29" s="14">
        <f>ROUND(G29*Setup!$B$4,2)</f>
        <v/>
      </c>
      <c r="I29" s="14">
        <f>ROUND((G29+H29)*Setup!$B$5,2)</f>
        <v/>
      </c>
      <c r="J29" s="14">
        <f>G29+H29+I29</f>
        <v/>
      </c>
      <c r="K29" s="15">
        <f>B29+_xlfn.XLOOKUP(D29,Setup!$A$9:$A$11,Setup!$D$9:$D$11,0)</f>
        <v/>
      </c>
      <c r="L29" s="4" t="n">
        <v>46311</v>
      </c>
      <c r="M29" s="11">
        <f>IF(L29&lt;&gt;"",IF(L29&lt;=K29,"On time","Late"),IF(K29&lt;Setup!$B$3,"Delayed","In transit"))</f>
        <v/>
      </c>
    </row>
    <row r="30">
      <c r="A30" s="11">
        <f>"AE"&amp;TEXT(ROW()-4,"00000")</f>
        <v/>
      </c>
      <c r="B30" s="4" t="n">
        <v>46311</v>
      </c>
      <c r="C30" s="9" t="inlineStr">
        <is>
          <t>Raja Traders</t>
        </is>
      </c>
      <c r="D30" s="9" t="inlineStr">
        <is>
          <t>Local</t>
        </is>
      </c>
      <c r="E30" s="6" t="n">
        <v>0.4</v>
      </c>
      <c r="F30" s="12">
        <f>ROUNDUP(E30/Setup!$B$6,0)*Setup!$B$6</f>
        <v/>
      </c>
      <c r="G30" s="13">
        <f>_xlfn.XLOOKUP(D30,Setup!$A$9:$A$11,Setup!$B$9:$B$11,0)+(F30/Setup!$B$6-1)*_xlfn.XLOOKUP(D30,Setup!$A$9:$A$11,Setup!$C$9:$C$11,0)</f>
        <v/>
      </c>
      <c r="H30" s="14">
        <f>ROUND(G30*Setup!$B$4,2)</f>
        <v/>
      </c>
      <c r="I30" s="14">
        <f>ROUND((G30+H30)*Setup!$B$5,2)</f>
        <v/>
      </c>
      <c r="J30" s="14">
        <f>G30+H30+I30</f>
        <v/>
      </c>
      <c r="K30" s="15">
        <f>B30+_xlfn.XLOOKUP(D30,Setup!$A$9:$A$11,Setup!$D$9:$D$11,0)</f>
        <v/>
      </c>
      <c r="L30" s="4" t="n"/>
      <c r="M30" s="11">
        <f>IF(L30&lt;&gt;"",IF(L30&lt;=K30,"On time","Late"),IF(K30&lt;Setup!$B$3,"Delayed","In transit"))</f>
        <v/>
      </c>
    </row>
    <row r="31">
      <c r="A31" s="11">
        <f>"AE"&amp;TEXT(ROW()-4,"00000")</f>
        <v/>
      </c>
      <c r="B31" s="4" t="n">
        <v>46312</v>
      </c>
      <c r="C31" s="9" t="inlineStr">
        <is>
          <t>Raja Traders</t>
        </is>
      </c>
      <c r="D31" s="9" t="inlineStr">
        <is>
          <t>Within state</t>
        </is>
      </c>
      <c r="E31" s="6" t="n">
        <v>0.2</v>
      </c>
      <c r="F31" s="12">
        <f>ROUNDUP(E31/Setup!$B$6,0)*Setup!$B$6</f>
        <v/>
      </c>
      <c r="G31" s="13">
        <f>_xlfn.XLOOKUP(D31,Setup!$A$9:$A$11,Setup!$B$9:$B$11,0)+(F31/Setup!$B$6-1)*_xlfn.XLOOKUP(D31,Setup!$A$9:$A$11,Setup!$C$9:$C$11,0)</f>
        <v/>
      </c>
      <c r="H31" s="14">
        <f>ROUND(G31*Setup!$B$4,2)</f>
        <v/>
      </c>
      <c r="I31" s="14">
        <f>ROUND((G31+H31)*Setup!$B$5,2)</f>
        <v/>
      </c>
      <c r="J31" s="14">
        <f>G31+H31+I31</f>
        <v/>
      </c>
      <c r="K31" s="15">
        <f>B31+_xlfn.XLOOKUP(D31,Setup!$A$9:$A$11,Setup!$D$9:$D$11,0)</f>
        <v/>
      </c>
      <c r="L31" s="4" t="n"/>
      <c r="M31" s="11">
        <f>IF(L31&lt;&gt;"",IF(L31&lt;=K31,"On time","Late"),IF(K31&lt;Setup!$B$3,"Delayed","In transit"))</f>
        <v/>
      </c>
    </row>
    <row r="32">
      <c r="A32" s="11">
        <f>"AE"&amp;TEXT(ROW()-4,"00000")</f>
        <v/>
      </c>
      <c r="B32" s="4" t="n">
        <v>46312</v>
      </c>
      <c r="C32" s="9" t="inlineStr">
        <is>
          <t>Walk-in</t>
        </is>
      </c>
      <c r="D32" s="9" t="inlineStr">
        <is>
          <t>Local</t>
        </is>
      </c>
      <c r="E32" s="6" t="n">
        <v>4.6</v>
      </c>
      <c r="F32" s="12">
        <f>ROUNDUP(E32/Setup!$B$6,0)*Setup!$B$6</f>
        <v/>
      </c>
      <c r="G32" s="13">
        <f>_xlfn.XLOOKUP(D32,Setup!$A$9:$A$11,Setup!$B$9:$B$11,0)+(F32/Setup!$B$6-1)*_xlfn.XLOOKUP(D32,Setup!$A$9:$A$11,Setup!$C$9:$C$11,0)</f>
        <v/>
      </c>
      <c r="H32" s="14">
        <f>ROUND(G32*Setup!$B$4,2)</f>
        <v/>
      </c>
      <c r="I32" s="14">
        <f>ROUND((G32+H32)*Setup!$B$5,2)</f>
        <v/>
      </c>
      <c r="J32" s="14">
        <f>G32+H32+I32</f>
        <v/>
      </c>
      <c r="K32" s="15">
        <f>B32+_xlfn.XLOOKUP(D32,Setup!$A$9:$A$11,Setup!$D$9:$D$11,0)</f>
        <v/>
      </c>
      <c r="L32" s="4" t="n"/>
      <c r="M32" s="11">
        <f>IF(L32&lt;&gt;"",IF(L32&lt;=K32,"On time","Late"),IF(K32&lt;Setup!$B$3,"Delayed","In transit"))</f>
        <v/>
      </c>
    </row>
  </sheetData>
  <conditionalFormatting sqref="M5:M32">
    <cfRule type="cellIs" priority="1" operator="equal" dxfId="0">
      <formula>"Delayed"</formula>
    </cfRule>
    <cfRule type="cellIs" priority="2" operator="equal" dxfId="1">
      <formula>"Late"</formula>
    </cfRule>
  </conditionalFormatting>
  <dataValidations count="2">
    <dataValidation sqref="C5:C5000" showDropDown="0" showInputMessage="0" showErrorMessage="1" allowBlank="1" errorTitle="Not in the list" error="Pick a value from the list" type="list">
      <formula1>=Setup!$F$9:$F$12</formula1>
    </dataValidation>
    <dataValidation sqref="D5:D5000" showDropDown="0" showInputMessage="0" showErrorMessage="1" allowBlank="1" errorTitle="Not in the list" error="Pick a value from the list" type="list">
      <formula1>=Setup!$A$9:$A$11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2" customWidth="1" min="3" max="3"/>
    <col width="11" customWidth="1" min="4" max="4"/>
    <col width="10" customWidth="1" min="5" max="5"/>
    <col width="10" customWidth="1" min="6" max="6"/>
    <col width="11" customWidth="1" min="7" max="7"/>
  </cols>
  <sheetData>
    <row r="1">
      <c r="A1" s="1" t="inlineStr">
        <is>
          <t>Monthly account bills</t>
        </is>
      </c>
    </row>
    <row r="2">
      <c r="A2" s="2" t="inlineStr">
        <is>
          <t>Totals per account for the month.</t>
        </is>
      </c>
    </row>
    <row r="4">
      <c r="A4" s="7" t="inlineStr">
        <is>
          <t>Account</t>
        </is>
      </c>
      <c r="B4" s="7" t="inlineStr">
        <is>
          <t>Shipments</t>
        </is>
      </c>
      <c r="C4" s="7" t="inlineStr">
        <is>
          <t>Chargeable kg</t>
        </is>
      </c>
      <c r="D4" s="7" t="inlineStr">
        <is>
          <t>Freight (₹)</t>
        </is>
      </c>
      <c r="E4" s="7" t="inlineStr">
        <is>
          <t>Fuel (₹)</t>
        </is>
      </c>
      <c r="F4" s="7" t="inlineStr">
        <is>
          <t>GST (₹)</t>
        </is>
      </c>
      <c r="G4" s="7" t="inlineStr">
        <is>
          <t>Total (₹)</t>
        </is>
      </c>
    </row>
    <row r="5">
      <c r="A5" s="11">
        <f>Setup!F9</f>
        <v/>
      </c>
      <c r="B5" s="11">
        <f>COUNTIF(Shipments!$C$5:$C$5000,A5)</f>
        <v/>
      </c>
      <c r="C5" s="12">
        <f>SUMIFS(Shipments!$F$5:$F$5000,Shipments!$C$5:$C$5000,A5)</f>
        <v/>
      </c>
      <c r="D5" s="13">
        <f>SUMIFS(Shipments!$G$5:$G$5000,Shipments!$C$5:$C$5000,A5)</f>
        <v/>
      </c>
      <c r="E5" s="14">
        <f>SUMIFS(Shipments!$H$5:$H$5000,Shipments!$C$5:$C$5000,A5)</f>
        <v/>
      </c>
      <c r="F5" s="14">
        <f>SUMIFS(Shipments!$I$5:$I$5000,Shipments!$C$5:$C$5000,A5)</f>
        <v/>
      </c>
      <c r="G5" s="14">
        <f>SUMIFS(Shipments!$J$5:$J$5000,Shipments!$C$5:$C$5000,A5)</f>
        <v/>
      </c>
    </row>
    <row r="6">
      <c r="A6" s="11">
        <f>Setup!F10</f>
        <v/>
      </c>
      <c r="B6" s="11">
        <f>COUNTIF(Shipments!$C$5:$C$5000,A6)</f>
        <v/>
      </c>
      <c r="C6" s="12">
        <f>SUMIFS(Shipments!$F$5:$F$5000,Shipments!$C$5:$C$5000,A6)</f>
        <v/>
      </c>
      <c r="D6" s="13">
        <f>SUMIFS(Shipments!$G$5:$G$5000,Shipments!$C$5:$C$5000,A6)</f>
        <v/>
      </c>
      <c r="E6" s="14">
        <f>SUMIFS(Shipments!$H$5:$H$5000,Shipments!$C$5:$C$5000,A6)</f>
        <v/>
      </c>
      <c r="F6" s="14">
        <f>SUMIFS(Shipments!$I$5:$I$5000,Shipments!$C$5:$C$5000,A6)</f>
        <v/>
      </c>
      <c r="G6" s="14">
        <f>SUMIFS(Shipments!$J$5:$J$5000,Shipments!$C$5:$C$5000,A6)</f>
        <v/>
      </c>
    </row>
    <row r="7">
      <c r="A7" s="11">
        <f>Setup!F11</f>
        <v/>
      </c>
      <c r="B7" s="11">
        <f>COUNTIF(Shipments!$C$5:$C$5000,A7)</f>
        <v/>
      </c>
      <c r="C7" s="12">
        <f>SUMIFS(Shipments!$F$5:$F$5000,Shipments!$C$5:$C$5000,A7)</f>
        <v/>
      </c>
      <c r="D7" s="13">
        <f>SUMIFS(Shipments!$G$5:$G$5000,Shipments!$C$5:$C$5000,A7)</f>
        <v/>
      </c>
      <c r="E7" s="14">
        <f>SUMIFS(Shipments!$H$5:$H$5000,Shipments!$C$5:$C$5000,A7)</f>
        <v/>
      </c>
      <c r="F7" s="14">
        <f>SUMIFS(Shipments!$I$5:$I$5000,Shipments!$C$5:$C$5000,A7)</f>
        <v/>
      </c>
      <c r="G7" s="14">
        <f>SUMIFS(Shipments!$J$5:$J$5000,Shipments!$C$5:$C$5000,A7)</f>
        <v/>
      </c>
    </row>
    <row r="8">
      <c r="A8" s="11">
        <f>Setup!F12</f>
        <v/>
      </c>
      <c r="B8" s="11">
        <f>COUNTIF(Shipments!$C$5:$C$5000,A8)</f>
        <v/>
      </c>
      <c r="C8" s="12">
        <f>SUMIFS(Shipments!$F$5:$F$5000,Shipments!$C$5:$C$5000,A8)</f>
        <v/>
      </c>
      <c r="D8" s="13">
        <f>SUMIFS(Shipments!$G$5:$G$5000,Shipments!$C$5:$C$5000,A8)</f>
        <v/>
      </c>
      <c r="E8" s="14">
        <f>SUMIFS(Shipments!$H$5:$H$5000,Shipments!$C$5:$C$5000,A8)</f>
        <v/>
      </c>
      <c r="F8" s="14">
        <f>SUMIFS(Shipments!$I$5:$I$5000,Shipments!$C$5:$C$5000,A8)</f>
        <v/>
      </c>
      <c r="G8" s="14">
        <f>SUMIFS(Shipments!$J$5:$J$5000,Shipments!$C$5:$C$5000,A8)</f>
        <v/>
      </c>
    </row>
    <row r="9">
      <c r="A9" s="16" t="inlineStr">
        <is>
          <t>Total</t>
        </is>
      </c>
      <c r="B9" s="16">
        <f>SUM(B5:B8)</f>
        <v/>
      </c>
      <c r="C9" s="17">
        <f>SUM(C5:C8)</f>
        <v/>
      </c>
      <c r="D9" s="18">
        <f>SUM(D5:D8)</f>
        <v/>
      </c>
      <c r="E9" s="19">
        <f>SUM(E5:E8)</f>
        <v/>
      </c>
      <c r="F9" s="19">
        <f>SUM(F5:F8)</f>
        <v/>
      </c>
      <c r="G9" s="19">
        <f>SUM(G5:G8)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9" customWidth="1" min="4" max="4"/>
    <col width="10" customWidth="1" min="5" max="5"/>
    <col width="11" customWidth="1" min="6" max="6"/>
  </cols>
  <sheetData>
    <row r="1">
      <c r="A1" s="1" t="inlineStr">
        <is>
          <t>Zone report</t>
        </is>
      </c>
    </row>
    <row r="2">
      <c r="A2" s="2" t="inlineStr">
        <is>
          <t>On-time % counts delivered shipments only.</t>
        </is>
      </c>
    </row>
    <row r="4">
      <c r="A4" s="7" t="inlineStr">
        <is>
          <t>Zone</t>
        </is>
      </c>
      <c r="B4" s="7" t="inlineStr">
        <is>
          <t>Shipments</t>
        </is>
      </c>
      <c r="C4" s="7" t="inlineStr">
        <is>
          <t>Delivered</t>
        </is>
      </c>
      <c r="D4" s="7" t="inlineStr">
        <is>
          <t>On time</t>
        </is>
      </c>
      <c r="E4" s="7" t="inlineStr">
        <is>
          <t>On-time %</t>
        </is>
      </c>
      <c r="F4" s="7" t="inlineStr">
        <is>
          <t>Freight (₹)</t>
        </is>
      </c>
    </row>
    <row r="5">
      <c r="A5" s="11">
        <f>Setup!A9</f>
        <v/>
      </c>
      <c r="B5" s="11">
        <f>COUNTIF(Shipments!$D$5:$D$5000,A5)</f>
        <v/>
      </c>
      <c r="C5" s="11">
        <f>COUNTIFS(Shipments!$D$5:$D$5000,A5,Shipments!$L$5:$L$5000,"&lt;&gt;")</f>
        <v/>
      </c>
      <c r="D5" s="11">
        <f>COUNTIFS(Shipments!$D$5:$D$5000,A5,Shipments!$M$5:$M$5000,"On time")</f>
        <v/>
      </c>
      <c r="E5" s="20">
        <f>IFERROR(D5/C5,0)</f>
        <v/>
      </c>
      <c r="F5" s="13">
        <f>SUMIFS(Shipments!$G$5:$G$5000,Shipments!$D$5:$D$5000,A5)</f>
        <v/>
      </c>
    </row>
    <row r="6">
      <c r="A6" s="11">
        <f>Setup!A10</f>
        <v/>
      </c>
      <c r="B6" s="11">
        <f>COUNTIF(Shipments!$D$5:$D$5000,A6)</f>
        <v/>
      </c>
      <c r="C6" s="11">
        <f>COUNTIFS(Shipments!$D$5:$D$5000,A6,Shipments!$L$5:$L$5000,"&lt;&gt;")</f>
        <v/>
      </c>
      <c r="D6" s="11">
        <f>COUNTIFS(Shipments!$D$5:$D$5000,A6,Shipments!$M$5:$M$5000,"On time")</f>
        <v/>
      </c>
      <c r="E6" s="20">
        <f>IFERROR(D6/C6,0)</f>
        <v/>
      </c>
      <c r="F6" s="13">
        <f>SUMIFS(Shipments!$G$5:$G$5000,Shipments!$D$5:$D$5000,A6)</f>
        <v/>
      </c>
    </row>
    <row r="7">
      <c r="A7" s="11">
        <f>Setup!A11</f>
        <v/>
      </c>
      <c r="B7" s="11">
        <f>COUNTIF(Shipments!$D$5:$D$5000,A7)</f>
        <v/>
      </c>
      <c r="C7" s="11">
        <f>COUNTIFS(Shipments!$D$5:$D$5000,A7,Shipments!$L$5:$L$5000,"&lt;&gt;")</f>
        <v/>
      </c>
      <c r="D7" s="11">
        <f>COUNTIFS(Shipments!$D$5:$D$5000,A7,Shipments!$M$5:$M$5000,"On time")</f>
        <v/>
      </c>
      <c r="E7" s="20">
        <f>IFERROR(D7/C7,0)</f>
        <v/>
      </c>
      <c r="F7" s="13">
        <f>SUMIFS(Shipments!$G$5:$G$5000,Shipments!$D$5:$D$5000,A7)</f>
        <v/>
      </c>
    </row>
    <row r="10">
      <c r="A10" s="7" t="inlineStr">
        <is>
          <t>Status</t>
        </is>
      </c>
      <c r="B10" s="7" t="inlineStr">
        <is>
          <t>Shipments</t>
        </is>
      </c>
    </row>
    <row r="11">
      <c r="A11" s="21" t="inlineStr">
        <is>
          <t>On time</t>
        </is>
      </c>
      <c r="B11" s="11">
        <f>COUNTIF(Shipments!$M$5:$M$5000,A11)</f>
        <v/>
      </c>
    </row>
    <row r="12">
      <c r="A12" s="21" t="inlineStr">
        <is>
          <t>Late</t>
        </is>
      </c>
      <c r="B12" s="11">
        <f>COUNTIF(Shipments!$M$5:$M$5000,A12)</f>
        <v/>
      </c>
    </row>
    <row r="13">
      <c r="A13" s="21" t="inlineStr">
        <is>
          <t>In transit</t>
        </is>
      </c>
      <c r="B13" s="11">
        <f>COUNTIF(Shipments!$M$5:$M$5000,A13)</f>
        <v/>
      </c>
    </row>
    <row r="14">
      <c r="A14" s="21" t="inlineStr">
        <is>
          <t>Delayed</t>
        </is>
      </c>
      <c r="B14" s="11">
        <f>COUNTIF(Shipments!$M$5:$M$5000,A14)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8" customWidth="1" min="1" max="1"/>
    <col width="20" customWidth="1" min="2" max="2"/>
  </cols>
  <sheetData>
    <row r="1">
      <c r="A1" s="1" t="inlineStr">
        <is>
          <t>Printable consignment note</t>
        </is>
      </c>
    </row>
    <row r="2">
      <c r="A2" s="2" t="inlineStr">
        <is>
          <t>Type an AWB number in B4. Print A1:B16.</t>
        </is>
      </c>
    </row>
    <row r="3">
      <c r="A3" s="3" t="inlineStr">
        <is>
          <t>Amir Express Courier, Sambhaji Nagar</t>
        </is>
      </c>
    </row>
    <row r="4">
      <c r="A4" s="3" t="inlineStr">
        <is>
          <t>AWB no</t>
        </is>
      </c>
      <c r="B4" s="9" t="inlineStr">
        <is>
          <t>AE00026</t>
        </is>
      </c>
    </row>
    <row r="6">
      <c r="A6" s="3" t="inlineStr">
        <is>
          <t>Date</t>
        </is>
      </c>
      <c r="B6" s="15">
        <f>_xlfn.XLOOKUP($B$4,Shipments!$A$5:$A$5000,Shipments!$B$5:$B$5000,"Not found")</f>
        <v/>
      </c>
    </row>
    <row r="7">
      <c r="A7" s="3" t="inlineStr">
        <is>
          <t>Account</t>
        </is>
      </c>
      <c r="B7" s="11">
        <f>_xlfn.XLOOKUP($B$4,Shipments!$A$5:$A$5000,Shipments!$C$5:$C$5000,"Not found")</f>
        <v/>
      </c>
    </row>
    <row r="8">
      <c r="A8" s="3" t="inlineStr">
        <is>
          <t>Zone</t>
        </is>
      </c>
      <c r="B8" s="11">
        <f>_xlfn.XLOOKUP($B$4,Shipments!$A$5:$A$5000,Shipments!$D$5:$D$5000,"Not found")</f>
        <v/>
      </c>
    </row>
    <row r="9">
      <c r="A9" s="3" t="inlineStr">
        <is>
          <t>Weight (kg)</t>
        </is>
      </c>
      <c r="B9" s="12">
        <f>_xlfn.XLOOKUP($B$4,Shipments!$A$5:$A$5000,Shipments!$E$5:$E$5000,"Not found")</f>
        <v/>
      </c>
    </row>
    <row r="10">
      <c r="A10" s="3" t="inlineStr">
        <is>
          <t>Chargeable (kg)</t>
        </is>
      </c>
      <c r="B10" s="12">
        <f>_xlfn.XLOOKUP($B$4,Shipments!$A$5:$A$5000,Shipments!$F$5:$F$5000,"Not found")</f>
        <v/>
      </c>
    </row>
    <row r="11">
      <c r="A11" s="3" t="inlineStr">
        <is>
          <t>Freight (₹)</t>
        </is>
      </c>
      <c r="B11" s="13">
        <f>_xlfn.XLOOKUP($B$4,Shipments!$A$5:$A$5000,Shipments!$G$5:$G$5000,"Not found")</f>
        <v/>
      </c>
    </row>
    <row r="12">
      <c r="A12" s="3" t="inlineStr">
        <is>
          <t>Fuel (₹)</t>
        </is>
      </c>
      <c r="B12" s="14">
        <f>_xlfn.XLOOKUP($B$4,Shipments!$A$5:$A$5000,Shipments!$H$5:$H$5000,"Not found")</f>
        <v/>
      </c>
    </row>
    <row r="13">
      <c r="A13" s="3" t="inlineStr">
        <is>
          <t>GST (₹)</t>
        </is>
      </c>
      <c r="B13" s="14">
        <f>_xlfn.XLOOKUP($B$4,Shipments!$A$5:$A$5000,Shipments!$I$5:$I$5000,"Not found")</f>
        <v/>
      </c>
    </row>
    <row r="14">
      <c r="A14" s="3" t="inlineStr">
        <is>
          <t>Total (₹)</t>
        </is>
      </c>
      <c r="B14" s="14">
        <f>_xlfn.XLOOKUP($B$4,Shipments!$A$5:$A$5000,Shipments!$J$5:$J$5000,"Not found")</f>
        <v/>
      </c>
    </row>
    <row r="15">
      <c r="A15" s="3" t="inlineStr">
        <is>
          <t>Promised by</t>
        </is>
      </c>
      <c r="B15" s="15">
        <f>_xlfn.XLOOKUP($B$4,Shipments!$A$5:$A$5000,Shipments!$K$5:$K$5000,"Not found")</f>
        <v/>
      </c>
    </row>
    <row r="16">
      <c r="A16" t="inlineStr">
        <is>
          <t>Sender and receiver sign here. Weight checked at the counter.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Courier dashboard: 1 to 17 October 2026</t>
        </is>
      </c>
    </row>
    <row r="2">
      <c r="A2" s="2" t="inlineStr">
        <is>
          <t>Formulas over Shipments, Account bill and Report.</t>
        </is>
      </c>
    </row>
    <row r="4" ht="32" customHeight="1">
      <c r="A4" s="7" t="inlineStr">
        <is>
          <t>Shipments</t>
        </is>
      </c>
      <c r="B4" s="7" t="inlineStr">
        <is>
          <t>Chargeable kg</t>
        </is>
      </c>
      <c r="C4" s="7" t="inlineStr">
        <is>
          <t>Freight + fuel</t>
        </is>
      </c>
      <c r="D4" s="7" t="inlineStr">
        <is>
          <t>On-time %</t>
        </is>
      </c>
      <c r="E4" s="7" t="inlineStr">
        <is>
          <t>Delayed</t>
        </is>
      </c>
      <c r="F4" s="7" t="inlineStr">
        <is>
          <t>In transit</t>
        </is>
      </c>
    </row>
    <row r="5" ht="30" customHeight="1">
      <c r="A5" s="22">
        <f>COUNTA(Shipments!$C$5:$C$5000)</f>
        <v/>
      </c>
      <c r="B5" s="23">
        <f>'Account bill'!C9</f>
        <v/>
      </c>
      <c r="C5" s="24">
        <f>'Account bill'!D9+'Account bill'!E9</f>
        <v/>
      </c>
      <c r="D5" s="25">
        <f>COUNTIF(Shipments!$M$5:$M$5000,"On time")/COUNTA(Shipments!$L$5:$L$5000)</f>
        <v/>
      </c>
      <c r="E5" s="22">
        <f>Report!B14</f>
        <v/>
      </c>
      <c r="F5" s="22">
        <f>Report!B13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2026-10-17T06:59:10Z</dcterms:created>
  <dcterms:modified xmlns:dcterms="http://purl.org/dc/terms/" xmlns:xsi="http://www.w3.org/2001/XMLSchema-instance" xsi:type="dcterms:W3CDTF">2026-10-17T06:59:10Z</dcterms:modified>
</cp:coreProperties>
</file>