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Quantities" sheetId="3" state="visible" r:id="rId3"/>
    <sheet xmlns:r="http://schemas.openxmlformats.org/officeDocument/2006/relationships" name="Events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Requirement" sheetId="6" state="visible" r:id="rId6"/>
    <sheet xmlns:r="http://schemas.openxmlformats.org/officeDocument/2006/relationships" name="Report" sheetId="7" state="visible" r:id="rId7"/>
    <sheet xmlns:r="http://schemas.openxmlformats.org/officeDocument/2006/relationships" name="Dashboard" sheetId="8" state="visible" r:id="rId8"/>
  </sheets>
  <definedNames>
    <definedName name="_xlnm.Print_Area" localSheetId="5">'Requirement'!$A$1:$D$16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-MM-YYYY"/>
    <numFmt numFmtId="166" formatCode="0.0%"/>
    <numFmt numFmtId="167" formatCode="[$₹-4009]#,##,##0;[Red]-[$₹-4009]#,##,##0"/>
    <numFmt numFmtId="168" formatCode="0.000"/>
    <numFmt numFmtId="169" formatCode="#,##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167" fontId="0" fillId="2" borderId="1" pivotButton="0" quotePrefix="0" xfId="0"/>
    <xf numFmtId="168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5" fontId="0" fillId="4" borderId="1" pivotButton="0" quotePrefix="0" xfId="0"/>
    <xf numFmtId="168" fontId="0" fillId="4" borderId="1" pivotButton="0" quotePrefix="0" xfId="0"/>
    <xf numFmtId="169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 by event type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Plates by package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'Report'!$A$12:$A$15</f>
            </numRef>
          </cat>
          <val>
            <numRef>
              <f>'Report'!$B$12:$B$15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Catering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(packages, GST, advance, buffer), Quantities (per plate), Events, Payments, Requirement (printable), Report, Dashboard.</t>
        </is>
      </c>
    </row>
    <row r="8">
      <c r="A8" t="inlineStr">
        <is>
          <t>Confirm the final guest count two days before the event and update Guests; the Requirement sheet recalculates the shopping list.</t>
        </is>
      </c>
    </row>
    <row r="9">
      <c r="A9" t="inlineStr">
        <is>
          <t>Staff and hire covers cooks, servers, vessels and transport for the event.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5" customWidth="1" min="3" max="3"/>
    <col width="17" customWidth="1" min="5" max="5"/>
    <col width="13" customWidth="1" min="6" max="6"/>
  </cols>
  <sheetData>
    <row r="1">
      <c r="A1" s="1" t="inlineStr">
        <is>
          <t>Catering Management System: Setup (Rani Caterers, Solapur)</t>
        </is>
      </c>
    </row>
    <row r="2">
      <c r="A2" s="2" t="inlineStr">
        <is>
          <t>Made-up packages, events, quantities and payments for 2026. GST rate is an input; confirm it for your catering service.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GST on catering</t>
        </is>
      </c>
      <c r="B4" s="5" t="n">
        <v>0.05</v>
      </c>
    </row>
    <row r="5">
      <c r="A5" s="3" t="inlineStr">
        <is>
          <t>Advance needed to confirm</t>
        </is>
      </c>
      <c r="B5" s="5" t="n">
        <v>0.5</v>
      </c>
    </row>
    <row r="6">
      <c r="A6" s="3" t="inlineStr">
        <is>
          <t>Extra food buffer</t>
        </is>
      </c>
      <c r="B6" s="5" t="n">
        <v>0.05</v>
      </c>
    </row>
    <row r="8">
      <c r="A8" s="6" t="inlineStr">
        <is>
          <t>Package</t>
        </is>
      </c>
      <c r="B8" s="6" t="inlineStr">
        <is>
          <t>Rate per plate (₹)</t>
        </is>
      </c>
      <c r="C8" s="6" t="inlineStr">
        <is>
          <t>Food cost per plate (₹)</t>
        </is>
      </c>
      <c r="E8" s="7" t="inlineStr">
        <is>
          <t>Event types</t>
        </is>
      </c>
      <c r="F8" s="7" t="inlineStr">
        <is>
          <t>Modes</t>
        </is>
      </c>
    </row>
    <row r="9">
      <c r="A9" s="8" t="inlineStr">
        <is>
          <t>Veg standard</t>
        </is>
      </c>
      <c r="B9" s="9" t="n">
        <v>350</v>
      </c>
      <c r="C9" s="9" t="n">
        <v>170</v>
      </c>
      <c r="E9" s="8" t="inlineStr">
        <is>
          <t>Wedding</t>
        </is>
      </c>
      <c r="F9" s="8" t="inlineStr">
        <is>
          <t>UPI</t>
        </is>
      </c>
    </row>
    <row r="10">
      <c r="A10" s="8" t="inlineStr">
        <is>
          <t>Veg premium</t>
        </is>
      </c>
      <c r="B10" s="9" t="n">
        <v>500</v>
      </c>
      <c r="C10" s="9" t="n">
        <v>240</v>
      </c>
      <c r="E10" s="8" t="inlineStr">
        <is>
          <t>Birthday</t>
        </is>
      </c>
      <c r="F10" s="8" t="inlineStr">
        <is>
          <t>Bank transfer</t>
        </is>
      </c>
    </row>
    <row r="11">
      <c r="A11" s="8" t="inlineStr">
        <is>
          <t>Non-veg standard</t>
        </is>
      </c>
      <c r="B11" s="9" t="n">
        <v>450</v>
      </c>
      <c r="C11" s="9" t="n">
        <v>230</v>
      </c>
      <c r="E11" s="8" t="inlineStr">
        <is>
          <t>Corporate lunch</t>
        </is>
      </c>
      <c r="F11" s="8" t="inlineStr">
        <is>
          <t>Cash</t>
        </is>
      </c>
    </row>
    <row r="12">
      <c r="A12" s="8" t="inlineStr">
        <is>
          <t>Non-veg premium</t>
        </is>
      </c>
      <c r="B12" s="9" t="n">
        <v>650</v>
      </c>
      <c r="C12" s="9" t="n">
        <v>320</v>
      </c>
      <c r="E12" s="8" t="inlineStr">
        <is>
          <t>Naming ceremony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6" customWidth="1" min="4" max="4"/>
    <col width="16" customWidth="1" min="5" max="5"/>
  </cols>
  <sheetData>
    <row r="1">
      <c r="A1" s="1" t="inlineStr">
        <is>
          <t>Quantity per plate</t>
        </is>
      </c>
    </row>
    <row r="2">
      <c r="A2" s="2" t="inlineStr">
        <is>
          <t>Raw quantity for ONE plate of each package. Used by the Requirement sheet.</t>
        </is>
      </c>
    </row>
    <row r="4">
      <c r="A4" s="6" t="inlineStr">
        <is>
          <t>Item</t>
        </is>
      </c>
      <c r="B4" s="6" t="inlineStr">
        <is>
          <t>Veg standard</t>
        </is>
      </c>
      <c r="C4" s="6" t="inlineStr">
        <is>
          <t>Veg premium</t>
        </is>
      </c>
      <c r="D4" s="6" t="inlineStr">
        <is>
          <t>Non-veg standard</t>
        </is>
      </c>
      <c r="E4" s="6" t="inlineStr">
        <is>
          <t>Non-veg premium</t>
        </is>
      </c>
    </row>
    <row r="5">
      <c r="A5" s="8" t="inlineStr">
        <is>
          <t>Rice (kg)</t>
        </is>
      </c>
      <c r="B5" s="10" t="n">
        <v>0.12</v>
      </c>
      <c r="C5" s="10" t="n">
        <v>0.12</v>
      </c>
      <c r="D5" s="10" t="n">
        <v>0.15</v>
      </c>
      <c r="E5" s="10" t="n">
        <v>0.15</v>
      </c>
    </row>
    <row r="6">
      <c r="A6" s="8" t="inlineStr">
        <is>
          <t>Wheat flour (kg)</t>
        </is>
      </c>
      <c r="B6" s="10" t="n">
        <v>0.08</v>
      </c>
      <c r="C6" s="10" t="n">
        <v>0.08</v>
      </c>
      <c r="D6" s="10" t="n">
        <v>0.08</v>
      </c>
      <c r="E6" s="10" t="n">
        <v>0.08</v>
      </c>
    </row>
    <row r="7">
      <c r="A7" s="8" t="inlineStr">
        <is>
          <t>Paneer (kg)</t>
        </is>
      </c>
      <c r="B7" s="10" t="n">
        <v>0.05</v>
      </c>
      <c r="C7" s="10" t="n">
        <v>0.08</v>
      </c>
      <c r="D7" s="10" t="n">
        <v>0</v>
      </c>
      <c r="E7" s="10" t="n">
        <v>0.05</v>
      </c>
    </row>
    <row r="8">
      <c r="A8" s="8" t="inlineStr">
        <is>
          <t>Chicken (kg)</t>
        </is>
      </c>
      <c r="B8" s="10" t="n">
        <v>0</v>
      </c>
      <c r="C8" s="10" t="n">
        <v>0</v>
      </c>
      <c r="D8" s="10" t="n">
        <v>0.2</v>
      </c>
      <c r="E8" s="10" t="n">
        <v>0.25</v>
      </c>
    </row>
    <row r="9">
      <c r="A9" s="8" t="inlineStr">
        <is>
          <t>Vegetables (kg)</t>
        </is>
      </c>
      <c r="B9" s="10" t="n">
        <v>0.2</v>
      </c>
      <c r="C9" s="10" t="n">
        <v>0.25</v>
      </c>
      <c r="D9" s="10" t="n">
        <v>0.12</v>
      </c>
      <c r="E9" s="10" t="n">
        <v>0.15</v>
      </c>
    </row>
    <row r="10">
      <c r="A10" s="8" t="inlineStr">
        <is>
          <t>Oil (L)</t>
        </is>
      </c>
      <c r="B10" s="10" t="n">
        <v>0.03</v>
      </c>
      <c r="C10" s="10" t="n">
        <v>0.035</v>
      </c>
      <c r="D10" s="10" t="n">
        <v>0.035</v>
      </c>
      <c r="E10" s="10" t="n">
        <v>0.04</v>
      </c>
    </row>
    <row r="11">
      <c r="A11" s="8" t="inlineStr">
        <is>
          <t>Sweets (pieces)</t>
        </is>
      </c>
      <c r="B11" s="10" t="n">
        <v>1</v>
      </c>
      <c r="C11" s="10" t="n">
        <v>2</v>
      </c>
      <c r="D11" s="10" t="n">
        <v>1</v>
      </c>
      <c r="E11" s="10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5" customWidth="1" min="3" max="3"/>
    <col width="15" customWidth="1" min="4" max="4"/>
    <col width="11" customWidth="1" min="5" max="5"/>
    <col width="16" customWidth="1" min="6" max="6"/>
    <col width="7" customWidth="1" min="7" max="7"/>
    <col width="8" customWidth="1" min="8" max="8"/>
    <col width="9" customWidth="1" min="9" max="9"/>
    <col width="11" customWidth="1" min="10" max="10"/>
    <col width="9" customWidth="1" min="11" max="11"/>
    <col width="11" customWidth="1" min="12" max="12"/>
    <col width="11" customWidth="1" min="13" max="13"/>
    <col width="10" customWidth="1" min="14" max="14"/>
    <col width="11" customWidth="1" min="15" max="15"/>
    <col width="11" customWidth="1" min="16" max="16"/>
    <col width="11" customWidth="1" min="17" max="17"/>
    <col width="14" customWidth="1" min="18" max="18"/>
  </cols>
  <sheetData>
    <row r="1">
      <c r="A1" s="1" t="inlineStr">
        <is>
          <t>Events</t>
        </is>
      </c>
    </row>
    <row r="2">
      <c r="A2" s="2" t="inlineStr">
        <is>
          <t>Amount = guests × rate + extras. Margin = amount − food cost − staff and hire cost. Status from date, advance and balance.</t>
        </is>
      </c>
    </row>
    <row r="4">
      <c r="A4" s="6" t="inlineStr">
        <is>
          <t>Event ID</t>
        </is>
      </c>
      <c r="B4" s="6" t="inlineStr">
        <is>
          <t>Booked on</t>
        </is>
      </c>
      <c r="C4" s="6" t="inlineStr">
        <is>
          <t>Client</t>
        </is>
      </c>
      <c r="D4" s="6" t="inlineStr">
        <is>
          <t>Event type</t>
        </is>
      </c>
      <c r="E4" s="6" t="inlineStr">
        <is>
          <t>Event date</t>
        </is>
      </c>
      <c r="F4" s="6" t="inlineStr">
        <is>
          <t>Package</t>
        </is>
      </c>
      <c r="G4" s="6" t="inlineStr">
        <is>
          <t>Guests</t>
        </is>
      </c>
      <c r="H4" s="6" t="inlineStr">
        <is>
          <t>Rate (₹)</t>
        </is>
      </c>
      <c r="I4" s="6" t="inlineStr">
        <is>
          <t>Extras (₹)</t>
        </is>
      </c>
      <c r="J4" s="6" t="inlineStr">
        <is>
          <t>Amount (₹)</t>
        </is>
      </c>
      <c r="K4" s="6" t="inlineStr">
        <is>
          <t>GST (₹)</t>
        </is>
      </c>
      <c r="L4" s="6" t="inlineStr">
        <is>
          <t>Total (₹)</t>
        </is>
      </c>
      <c r="M4" s="6" t="inlineStr">
        <is>
          <t>Paid (₹)</t>
        </is>
      </c>
      <c r="N4" s="6" t="inlineStr">
        <is>
          <t>Balance (₹)</t>
        </is>
      </c>
      <c r="O4" s="6" t="inlineStr">
        <is>
          <t>Food cost (₹)</t>
        </is>
      </c>
      <c r="P4" s="6" t="inlineStr">
        <is>
          <t>Staff and hire (₹)</t>
        </is>
      </c>
      <c r="Q4" s="6" t="inlineStr">
        <is>
          <t>Margin (₹)</t>
        </is>
      </c>
      <c r="R4" s="6" t="inlineStr">
        <is>
          <t>Status</t>
        </is>
      </c>
    </row>
    <row r="5">
      <c r="A5" s="11">
        <f>"EV-"&amp;TEXT(ROW()-4,"000")</f>
        <v/>
      </c>
      <c r="B5" s="4" t="n">
        <v>46237</v>
      </c>
      <c r="C5" s="8" t="inlineStr">
        <is>
          <t>Ravindra Bagale</t>
        </is>
      </c>
      <c r="D5" s="8" t="inlineStr">
        <is>
          <t>Naming ceremony</t>
        </is>
      </c>
      <c r="E5" s="4" t="n">
        <v>46271</v>
      </c>
      <c r="F5" s="8" t="inlineStr">
        <is>
          <t>Veg standard</t>
        </is>
      </c>
      <c r="G5" s="8" t="n">
        <v>120</v>
      </c>
      <c r="H5" s="12">
        <f>_xlfn.XLOOKUP(F5,Setup!$A$9:$A$12,Setup!$B$9:$B$12,0)</f>
        <v/>
      </c>
      <c r="I5" s="9" t="n">
        <v>0</v>
      </c>
      <c r="J5" s="12">
        <f>G5*H5+I5</f>
        <v/>
      </c>
      <c r="K5" s="12">
        <f>ROUND(J5*Setup!$B$4,0)</f>
        <v/>
      </c>
      <c r="L5" s="12">
        <f>J5+K5</f>
        <v/>
      </c>
      <c r="M5" s="12">
        <f>SUMIFS(Payments!$C$5:$C$2000,Payments!$B$5:$B$2000,A5)</f>
        <v/>
      </c>
      <c r="N5" s="12">
        <f>L5-M5</f>
        <v/>
      </c>
      <c r="O5" s="12">
        <f>G5*_xlfn.XLOOKUP(F5,Setup!$A$9:$A$12,Setup!$C$9:$C$12,0)</f>
        <v/>
      </c>
      <c r="P5" s="9" t="n">
        <v>8000</v>
      </c>
      <c r="Q5" s="12">
        <f>J5-O5-P5</f>
        <v/>
      </c>
      <c r="R5" s="11">
        <f>IF(E5&lt;Setup!$B$3,IF(N5&lt;=0,"Done","Collect balance"),IF(M5&gt;=L5*Setup!$B$5,"Confirmed","Advance due"))</f>
        <v/>
      </c>
    </row>
    <row r="6">
      <c r="A6" s="11">
        <f>"EV-"&amp;TEXT(ROW()-4,"000")</f>
        <v/>
      </c>
      <c r="B6" s="4" t="n">
        <v>46244</v>
      </c>
      <c r="C6" s="8" t="inlineStr">
        <is>
          <t>Shraddha Patil</t>
        </is>
      </c>
      <c r="D6" s="8" t="inlineStr">
        <is>
          <t>Wedding</t>
        </is>
      </c>
      <c r="E6" s="4" t="n">
        <v>46293</v>
      </c>
      <c r="F6" s="8" t="inlineStr">
        <is>
          <t>Veg premium</t>
        </is>
      </c>
      <c r="G6" s="8" t="n">
        <v>450</v>
      </c>
      <c r="H6" s="12">
        <f>_xlfn.XLOOKUP(F6,Setup!$A$9:$A$12,Setup!$B$9:$B$12,0)</f>
        <v/>
      </c>
      <c r="I6" s="9" t="n">
        <v>15000</v>
      </c>
      <c r="J6" s="12">
        <f>G6*H6+I6</f>
        <v/>
      </c>
      <c r="K6" s="12">
        <f>ROUND(J6*Setup!$B$4,0)</f>
        <v/>
      </c>
      <c r="L6" s="12">
        <f>J6+K6</f>
        <v/>
      </c>
      <c r="M6" s="12">
        <f>SUMIFS(Payments!$C$5:$C$2000,Payments!$B$5:$B$2000,A6)</f>
        <v/>
      </c>
      <c r="N6" s="12">
        <f>L6-M6</f>
        <v/>
      </c>
      <c r="O6" s="12">
        <f>G6*_xlfn.XLOOKUP(F6,Setup!$A$9:$A$12,Setup!$C$9:$C$12,0)</f>
        <v/>
      </c>
      <c r="P6" s="9" t="n">
        <v>30000</v>
      </c>
      <c r="Q6" s="12">
        <f>J6-O6-P6</f>
        <v/>
      </c>
      <c r="R6" s="11">
        <f>IF(E6&lt;Setup!$B$3,IF(N6&lt;=0,"Done","Collect balance"),IF(M6&gt;=L6*Setup!$B$5,"Confirmed","Advance due"))</f>
        <v/>
      </c>
    </row>
    <row r="7">
      <c r="A7" s="11">
        <f>"EV-"&amp;TEXT(ROW()-4,"000")</f>
        <v/>
      </c>
      <c r="B7" s="4" t="n">
        <v>46267</v>
      </c>
      <c r="C7" s="8" t="inlineStr">
        <is>
          <t>Bagale Tech</t>
        </is>
      </c>
      <c r="D7" s="8" t="inlineStr">
        <is>
          <t>Corporate lunch</t>
        </is>
      </c>
      <c r="E7" s="4" t="n">
        <v>46304</v>
      </c>
      <c r="F7" s="8" t="inlineStr">
        <is>
          <t>Veg standard</t>
        </is>
      </c>
      <c r="G7" s="8" t="n">
        <v>80</v>
      </c>
      <c r="H7" s="12">
        <f>_xlfn.XLOOKUP(F7,Setup!$A$9:$A$12,Setup!$B$9:$B$12,0)</f>
        <v/>
      </c>
      <c r="I7" s="9" t="n">
        <v>0</v>
      </c>
      <c r="J7" s="12">
        <f>G7*H7+I7</f>
        <v/>
      </c>
      <c r="K7" s="12">
        <f>ROUND(J7*Setup!$B$4,0)</f>
        <v/>
      </c>
      <c r="L7" s="12">
        <f>J7+K7</f>
        <v/>
      </c>
      <c r="M7" s="12">
        <f>SUMIFS(Payments!$C$5:$C$2000,Payments!$B$5:$B$2000,A7)</f>
        <v/>
      </c>
      <c r="N7" s="12">
        <f>L7-M7</f>
        <v/>
      </c>
      <c r="O7" s="12">
        <f>G7*_xlfn.XLOOKUP(F7,Setup!$A$9:$A$12,Setup!$C$9:$C$12,0)</f>
        <v/>
      </c>
      <c r="P7" s="9" t="n">
        <v>4000</v>
      </c>
      <c r="Q7" s="12">
        <f>J7-O7-P7</f>
        <v/>
      </c>
      <c r="R7" s="11">
        <f>IF(E7&lt;Setup!$B$3,IF(N7&lt;=0,"Done","Collect balance"),IF(M7&gt;=L7*Setup!$B$5,"Confirmed","Advance due"))</f>
        <v/>
      </c>
    </row>
    <row r="8">
      <c r="A8" s="11">
        <f>"EV-"&amp;TEXT(ROW()-4,"000")</f>
        <v/>
      </c>
      <c r="B8" s="4" t="n">
        <v>46270</v>
      </c>
      <c r="C8" s="8" t="inlineStr">
        <is>
          <t>Raja Jadhav</t>
        </is>
      </c>
      <c r="D8" s="8" t="inlineStr">
        <is>
          <t>Wedding</t>
        </is>
      </c>
      <c r="E8" s="4" t="n">
        <v>46307</v>
      </c>
      <c r="F8" s="8" t="inlineStr">
        <is>
          <t>Non-veg premium</t>
        </is>
      </c>
      <c r="G8" s="8" t="n">
        <v>600</v>
      </c>
      <c r="H8" s="12">
        <f>_xlfn.XLOOKUP(F8,Setup!$A$9:$A$12,Setup!$B$9:$B$12,0)</f>
        <v/>
      </c>
      <c r="I8" s="9" t="n">
        <v>25000</v>
      </c>
      <c r="J8" s="12">
        <f>G8*H8+I8</f>
        <v/>
      </c>
      <c r="K8" s="12">
        <f>ROUND(J8*Setup!$B$4,0)</f>
        <v/>
      </c>
      <c r="L8" s="12">
        <f>J8+K8</f>
        <v/>
      </c>
      <c r="M8" s="12">
        <f>SUMIFS(Payments!$C$5:$C$2000,Payments!$B$5:$B$2000,A8)</f>
        <v/>
      </c>
      <c r="N8" s="12">
        <f>L8-M8</f>
        <v/>
      </c>
      <c r="O8" s="12">
        <f>G8*_xlfn.XLOOKUP(F8,Setup!$A$9:$A$12,Setup!$C$9:$C$12,0)</f>
        <v/>
      </c>
      <c r="P8" s="9" t="n">
        <v>45000</v>
      </c>
      <c r="Q8" s="12">
        <f>J8-O8-P8</f>
        <v/>
      </c>
      <c r="R8" s="11">
        <f>IF(E8&lt;Setup!$B$3,IF(N8&lt;=0,"Done","Collect balance"),IF(M8&gt;=L8*Setup!$B$5,"Confirmed","Advance due"))</f>
        <v/>
      </c>
    </row>
    <row r="9">
      <c r="A9" s="11">
        <f>"EV-"&amp;TEXT(ROW()-4,"000")</f>
        <v/>
      </c>
      <c r="B9" s="4" t="n">
        <v>46280</v>
      </c>
      <c r="C9" s="8" t="inlineStr">
        <is>
          <t>Zoya Khan</t>
        </is>
      </c>
      <c r="D9" s="8" t="inlineStr">
        <is>
          <t>Birthday</t>
        </is>
      </c>
      <c r="E9" s="4" t="n">
        <v>46310</v>
      </c>
      <c r="F9" s="8" t="inlineStr">
        <is>
          <t>Non-veg standard</t>
        </is>
      </c>
      <c r="G9" s="8" t="n">
        <v>60</v>
      </c>
      <c r="H9" s="12">
        <f>_xlfn.XLOOKUP(F9,Setup!$A$9:$A$12,Setup!$B$9:$B$12,0)</f>
        <v/>
      </c>
      <c r="I9" s="9" t="n">
        <v>3000</v>
      </c>
      <c r="J9" s="12">
        <f>G9*H9+I9</f>
        <v/>
      </c>
      <c r="K9" s="12">
        <f>ROUND(J9*Setup!$B$4,0)</f>
        <v/>
      </c>
      <c r="L9" s="12">
        <f>J9+K9</f>
        <v/>
      </c>
      <c r="M9" s="12">
        <f>SUMIFS(Payments!$C$5:$C$2000,Payments!$B$5:$B$2000,A9)</f>
        <v/>
      </c>
      <c r="N9" s="12">
        <f>L9-M9</f>
        <v/>
      </c>
      <c r="O9" s="12">
        <f>G9*_xlfn.XLOOKUP(F9,Setup!$A$9:$A$12,Setup!$C$9:$C$12,0)</f>
        <v/>
      </c>
      <c r="P9" s="9" t="n">
        <v>3000</v>
      </c>
      <c r="Q9" s="12">
        <f>J9-O9-P9</f>
        <v/>
      </c>
      <c r="R9" s="11">
        <f>IF(E9&lt;Setup!$B$3,IF(N9&lt;=0,"Done","Collect balance"),IF(M9&gt;=L9*Setup!$B$5,"Confirmed","Advance due"))</f>
        <v/>
      </c>
    </row>
    <row r="10">
      <c r="A10" s="11">
        <f>"EV-"&amp;TEXT(ROW()-4,"000")</f>
        <v/>
      </c>
      <c r="B10" s="4" t="n">
        <v>46285</v>
      </c>
      <c r="C10" s="8" t="inlineStr">
        <is>
          <t>Amir Sayyed</t>
        </is>
      </c>
      <c r="D10" s="8" t="inlineStr">
        <is>
          <t>Wedding</t>
        </is>
      </c>
      <c r="E10" s="4" t="n">
        <v>46320</v>
      </c>
      <c r="F10" s="8" t="inlineStr">
        <is>
          <t>Non-veg standard</t>
        </is>
      </c>
      <c r="G10" s="8" t="n">
        <v>500</v>
      </c>
      <c r="H10" s="12">
        <f>_xlfn.XLOOKUP(F10,Setup!$A$9:$A$12,Setup!$B$9:$B$12,0)</f>
        <v/>
      </c>
      <c r="I10" s="9" t="n">
        <v>12000</v>
      </c>
      <c r="J10" s="12">
        <f>G10*H10+I10</f>
        <v/>
      </c>
      <c r="K10" s="12">
        <f>ROUND(J10*Setup!$B$4,0)</f>
        <v/>
      </c>
      <c r="L10" s="12">
        <f>J10+K10</f>
        <v/>
      </c>
      <c r="M10" s="12">
        <f>SUMIFS(Payments!$C$5:$C$2000,Payments!$B$5:$B$2000,A10)</f>
        <v/>
      </c>
      <c r="N10" s="12">
        <f>L10-M10</f>
        <v/>
      </c>
      <c r="O10" s="12">
        <f>G10*_xlfn.XLOOKUP(F10,Setup!$A$9:$A$12,Setup!$C$9:$C$12,0)</f>
        <v/>
      </c>
      <c r="P10" s="9" t="n">
        <v>28000</v>
      </c>
      <c r="Q10" s="12">
        <f>J10-O10-P10</f>
        <v/>
      </c>
      <c r="R10" s="11">
        <f>IF(E10&lt;Setup!$B$3,IF(N10&lt;=0,"Done","Collect balance"),IF(M10&gt;=L10*Setup!$B$5,"Confirmed","Advance due"))</f>
        <v/>
      </c>
    </row>
    <row r="11">
      <c r="A11" s="11">
        <f>"EV-"&amp;TEXT(ROW()-4,"000")</f>
        <v/>
      </c>
      <c r="B11" s="4" t="n">
        <v>46296</v>
      </c>
      <c r="C11" s="8" t="inlineStr">
        <is>
          <t>Rani Pawar</t>
        </is>
      </c>
      <c r="D11" s="8" t="inlineStr">
        <is>
          <t>Birthday</t>
        </is>
      </c>
      <c r="E11" s="4" t="n">
        <v>46314</v>
      </c>
      <c r="F11" s="8" t="inlineStr">
        <is>
          <t>Veg premium</t>
        </is>
      </c>
      <c r="G11" s="8" t="n">
        <v>70</v>
      </c>
      <c r="H11" s="12">
        <f>_xlfn.XLOOKUP(F11,Setup!$A$9:$A$12,Setup!$B$9:$B$12,0)</f>
        <v/>
      </c>
      <c r="I11" s="9" t="n">
        <v>2000</v>
      </c>
      <c r="J11" s="12">
        <f>G11*H11+I11</f>
        <v/>
      </c>
      <c r="K11" s="12">
        <f>ROUND(J11*Setup!$B$4,0)</f>
        <v/>
      </c>
      <c r="L11" s="12">
        <f>J11+K11</f>
        <v/>
      </c>
      <c r="M11" s="12">
        <f>SUMIFS(Payments!$C$5:$C$2000,Payments!$B$5:$B$2000,A11)</f>
        <v/>
      </c>
      <c r="N11" s="12">
        <f>L11-M11</f>
        <v/>
      </c>
      <c r="O11" s="12">
        <f>G11*_xlfn.XLOOKUP(F11,Setup!$A$9:$A$12,Setup!$C$9:$C$12,0)</f>
        <v/>
      </c>
      <c r="P11" s="9" t="n">
        <v>3000</v>
      </c>
      <c r="Q11" s="12">
        <f>J11-O11-P11</f>
        <v/>
      </c>
      <c r="R11" s="11">
        <f>IF(E11&lt;Setup!$B$3,IF(N11&lt;=0,"Done","Collect balance"),IF(M11&gt;=L11*Setup!$B$5,"Confirmed","Advance due"))</f>
        <v/>
      </c>
    </row>
    <row r="12">
      <c r="A12" s="11">
        <f>"EV-"&amp;TEXT(ROW()-4,"000")</f>
        <v/>
      </c>
      <c r="B12" s="4" t="n">
        <v>46299</v>
      </c>
      <c r="C12" s="8" t="inlineStr">
        <is>
          <t>Salman Shaikh</t>
        </is>
      </c>
      <c r="D12" s="8" t="inlineStr">
        <is>
          <t>Wedding</t>
        </is>
      </c>
      <c r="E12" s="4" t="n">
        <v>46334</v>
      </c>
      <c r="F12" s="8" t="inlineStr">
        <is>
          <t>Non-veg premium</t>
        </is>
      </c>
      <c r="G12" s="8" t="n">
        <v>800</v>
      </c>
      <c r="H12" s="12">
        <f>_xlfn.XLOOKUP(F12,Setup!$A$9:$A$12,Setup!$B$9:$B$12,0)</f>
        <v/>
      </c>
      <c r="I12" s="9" t="n">
        <v>30000</v>
      </c>
      <c r="J12" s="12">
        <f>G12*H12+I12</f>
        <v/>
      </c>
      <c r="K12" s="12">
        <f>ROUND(J12*Setup!$B$4,0)</f>
        <v/>
      </c>
      <c r="L12" s="12">
        <f>J12+K12</f>
        <v/>
      </c>
      <c r="M12" s="12">
        <f>SUMIFS(Payments!$C$5:$C$2000,Payments!$B$5:$B$2000,A12)</f>
        <v/>
      </c>
      <c r="N12" s="12">
        <f>L12-M12</f>
        <v/>
      </c>
      <c r="O12" s="12">
        <f>G12*_xlfn.XLOOKUP(F12,Setup!$A$9:$A$12,Setup!$C$9:$C$12,0)</f>
        <v/>
      </c>
      <c r="P12" s="9" t="n">
        <v>55000</v>
      </c>
      <c r="Q12" s="12">
        <f>J12-O12-P12</f>
        <v/>
      </c>
      <c r="R12" s="11">
        <f>IF(E12&lt;Setup!$B$3,IF(N12&lt;=0,"Done","Collect balance"),IF(M12&gt;=L12*Setup!$B$5,"Confirmed","Advance due"))</f>
        <v/>
      </c>
    </row>
    <row r="13">
      <c r="A13" s="11">
        <f>"EV-"&amp;TEXT(ROW()-4,"000")</f>
        <v/>
      </c>
      <c r="B13" s="4" t="n">
        <v>46303</v>
      </c>
      <c r="C13" s="8" t="inlineStr">
        <is>
          <t>Ruhi Kulkarni</t>
        </is>
      </c>
      <c r="D13" s="8" t="inlineStr">
        <is>
          <t>Naming ceremony</t>
        </is>
      </c>
      <c r="E13" s="4" t="n">
        <v>46327</v>
      </c>
      <c r="F13" s="8" t="inlineStr">
        <is>
          <t>Veg standard</t>
        </is>
      </c>
      <c r="G13" s="8" t="n">
        <v>150</v>
      </c>
      <c r="H13" s="12">
        <f>_xlfn.XLOOKUP(F13,Setup!$A$9:$A$12,Setup!$B$9:$B$12,0)</f>
        <v/>
      </c>
      <c r="I13" s="9" t="n">
        <v>0</v>
      </c>
      <c r="J13" s="12">
        <f>G13*H13+I13</f>
        <v/>
      </c>
      <c r="K13" s="12">
        <f>ROUND(J13*Setup!$B$4,0)</f>
        <v/>
      </c>
      <c r="L13" s="12">
        <f>J13+K13</f>
        <v/>
      </c>
      <c r="M13" s="12">
        <f>SUMIFS(Payments!$C$5:$C$2000,Payments!$B$5:$B$2000,A13)</f>
        <v/>
      </c>
      <c r="N13" s="12">
        <f>L13-M13</f>
        <v/>
      </c>
      <c r="O13" s="12">
        <f>G13*_xlfn.XLOOKUP(F13,Setup!$A$9:$A$12,Setup!$C$9:$C$12,0)</f>
        <v/>
      </c>
      <c r="P13" s="9" t="n">
        <v>6000</v>
      </c>
      <c r="Q13" s="12">
        <f>J13-O13-P13</f>
        <v/>
      </c>
      <c r="R13" s="11">
        <f>IF(E13&lt;Setup!$B$3,IF(N13&lt;=0,"Done","Collect balance"),IF(M13&gt;=L13*Setup!$B$5,"Confirmed","Advance due"))</f>
        <v/>
      </c>
    </row>
    <row r="14">
      <c r="A14" s="11">
        <f>"EV-"&amp;TEXT(ROW()-4,"000")</f>
        <v/>
      </c>
      <c r="B14" s="4" t="n">
        <v>46307</v>
      </c>
      <c r="C14" s="8" t="inlineStr">
        <is>
          <t>Ravina More</t>
        </is>
      </c>
      <c r="D14" s="8" t="inlineStr">
        <is>
          <t>Corporate lunch</t>
        </is>
      </c>
      <c r="E14" s="4" t="n">
        <v>46317</v>
      </c>
      <c r="F14" s="8" t="inlineStr">
        <is>
          <t>Veg premium</t>
        </is>
      </c>
      <c r="G14" s="8" t="n">
        <v>100</v>
      </c>
      <c r="H14" s="12">
        <f>_xlfn.XLOOKUP(F14,Setup!$A$9:$A$12,Setup!$B$9:$B$12,0)</f>
        <v/>
      </c>
      <c r="I14" s="9" t="n">
        <v>0</v>
      </c>
      <c r="J14" s="12">
        <f>G14*H14+I14</f>
        <v/>
      </c>
      <c r="K14" s="12">
        <f>ROUND(J14*Setup!$B$4,0)</f>
        <v/>
      </c>
      <c r="L14" s="12">
        <f>J14+K14</f>
        <v/>
      </c>
      <c r="M14" s="12">
        <f>SUMIFS(Payments!$C$5:$C$2000,Payments!$B$5:$B$2000,A14)</f>
        <v/>
      </c>
      <c r="N14" s="12">
        <f>L14-M14</f>
        <v/>
      </c>
      <c r="O14" s="12">
        <f>G14*_xlfn.XLOOKUP(F14,Setup!$A$9:$A$12,Setup!$C$9:$C$12,0)</f>
        <v/>
      </c>
      <c r="P14" s="9" t="n">
        <v>5000</v>
      </c>
      <c r="Q14" s="12">
        <f>J14-O14-P14</f>
        <v/>
      </c>
      <c r="R14" s="11">
        <f>IF(E14&lt;Setup!$B$3,IF(N14&lt;=0,"Done","Collect balance"),IF(M14&gt;=L14*Setup!$B$5,"Confirmed","Advance due"))</f>
        <v/>
      </c>
    </row>
  </sheetData>
  <conditionalFormatting sqref="A5:R14">
    <cfRule type="expression" priority="1" dxfId="0">
      <formula>OR($R5="Collect balance",$R5="Advance due")</formula>
    </cfRule>
  </conditionalFormatting>
  <dataValidations count="2">
    <dataValidation sqref="D5:D2000" showDropDown="0" showInputMessage="0" showErrorMessage="1" allowBlank="1" errorTitle="Not in the list" error="Pick a value from the list" type="list">
      <formula1>=Setup!$E$9:$E$12</formula1>
    </dataValidation>
    <dataValidation sqref="F5:F2000" showDropDown="0" showInputMessage="0" showErrorMessage="1" allowBlank="1" errorTitle="Not in the list" error="Pick a value from the list" type="list">
      <formula1>=Setup!$A$9:$A$12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11" customWidth="1" min="3" max="3"/>
    <col width="13" customWidth="1" min="4" max="4"/>
    <col width="15" customWidth="1" min="5" max="5"/>
  </cols>
  <sheetData>
    <row r="1">
      <c r="A1" s="1" t="inlineStr">
        <is>
          <t>Payments received</t>
        </is>
      </c>
    </row>
    <row r="2">
      <c r="A2" s="2" t="inlineStr">
        <is>
          <t>One row per payment against an event ID.</t>
        </is>
      </c>
    </row>
    <row r="4">
      <c r="A4" s="6" t="inlineStr">
        <is>
          <t>Date</t>
        </is>
      </c>
      <c r="B4" s="6" t="inlineStr">
        <is>
          <t>Event ID</t>
        </is>
      </c>
      <c r="C4" s="6" t="inlineStr">
        <is>
          <t>Amount (₹)</t>
        </is>
      </c>
      <c r="D4" s="6" t="inlineStr">
        <is>
          <t>Mode</t>
        </is>
      </c>
      <c r="E4" s="6" t="inlineStr">
        <is>
          <t>Client</t>
        </is>
      </c>
    </row>
    <row r="5">
      <c r="A5" s="4" t="n">
        <v>46237</v>
      </c>
      <c r="B5" s="8" t="inlineStr">
        <is>
          <t>EV-001</t>
        </is>
      </c>
      <c r="C5" s="9" t="n">
        <v>20000</v>
      </c>
      <c r="D5" s="8" t="inlineStr">
        <is>
          <t>UPI</t>
        </is>
      </c>
      <c r="E5" s="11">
        <f>_xlfn.XLOOKUP(B5,Events!$A$5:$A$2000,Events!$C$5:$C$2000,"Check ID")</f>
        <v/>
      </c>
    </row>
    <row r="6">
      <c r="A6" s="4" t="n">
        <v>46244</v>
      </c>
      <c r="B6" s="8" t="inlineStr">
        <is>
          <t>EV-002</t>
        </is>
      </c>
      <c r="C6" s="9" t="n">
        <v>100000</v>
      </c>
      <c r="D6" s="8" t="inlineStr">
        <is>
          <t>Bank transfer</t>
        </is>
      </c>
      <c r="E6" s="11">
        <f>_xlfn.XLOOKUP(B6,Events!$A$5:$A$2000,Events!$C$5:$C$2000,"Check ID")</f>
        <v/>
      </c>
    </row>
    <row r="7">
      <c r="A7" s="4" t="n">
        <v>46267</v>
      </c>
      <c r="B7" s="8" t="inlineStr">
        <is>
          <t>EV-003</t>
        </is>
      </c>
      <c r="C7" s="9" t="n">
        <v>10000</v>
      </c>
      <c r="D7" s="8" t="inlineStr">
        <is>
          <t>Cash</t>
        </is>
      </c>
      <c r="E7" s="11">
        <f>_xlfn.XLOOKUP(B7,Events!$A$5:$A$2000,Events!$C$5:$C$2000,"Check ID")</f>
        <v/>
      </c>
    </row>
    <row r="8">
      <c r="A8" s="4" t="n">
        <v>46270</v>
      </c>
      <c r="B8" s="8" t="inlineStr">
        <is>
          <t>EV-004</t>
        </is>
      </c>
      <c r="C8" s="9" t="n">
        <v>200000</v>
      </c>
      <c r="D8" s="8" t="inlineStr">
        <is>
          <t>UPI</t>
        </is>
      </c>
      <c r="E8" s="11">
        <f>_xlfn.XLOOKUP(B8,Events!$A$5:$A$2000,Events!$C$5:$C$2000,"Check ID")</f>
        <v/>
      </c>
    </row>
    <row r="9">
      <c r="A9" s="4" t="n">
        <v>46271</v>
      </c>
      <c r="B9" s="8" t="inlineStr">
        <is>
          <t>EV-001</t>
        </is>
      </c>
      <c r="C9" s="9" t="n">
        <v>22000</v>
      </c>
      <c r="D9" s="8" t="inlineStr">
        <is>
          <t>Bank transfer</t>
        </is>
      </c>
      <c r="E9" s="11">
        <f>_xlfn.XLOOKUP(B9,Events!$A$5:$A$2000,Events!$C$5:$C$2000,"Check ID")</f>
        <v/>
      </c>
    </row>
    <row r="10">
      <c r="A10" s="4" t="n">
        <v>46280</v>
      </c>
      <c r="B10" s="8" t="inlineStr">
        <is>
          <t>EV-005</t>
        </is>
      </c>
      <c r="C10" s="9" t="n">
        <v>15000</v>
      </c>
      <c r="D10" s="8" t="inlineStr">
        <is>
          <t>Cash</t>
        </is>
      </c>
      <c r="E10" s="11">
        <f>_xlfn.XLOOKUP(B10,Events!$A$5:$A$2000,Events!$C$5:$C$2000,"Check ID")</f>
        <v/>
      </c>
    </row>
    <row r="11">
      <c r="A11" s="4" t="n">
        <v>46285</v>
      </c>
      <c r="B11" s="8" t="inlineStr">
        <is>
          <t>EV-006</t>
        </is>
      </c>
      <c r="C11" s="9" t="n">
        <v>120000</v>
      </c>
      <c r="D11" s="8" t="inlineStr">
        <is>
          <t>UPI</t>
        </is>
      </c>
      <c r="E11" s="11">
        <f>_xlfn.XLOOKUP(B11,Events!$A$5:$A$2000,Events!$C$5:$C$2000,"Check ID")</f>
        <v/>
      </c>
    </row>
    <row r="12">
      <c r="A12" s="4" t="n">
        <v>46293</v>
      </c>
      <c r="B12" s="8" t="inlineStr">
        <is>
          <t>EV-002</t>
        </is>
      </c>
      <c r="C12" s="9" t="n">
        <v>96000</v>
      </c>
      <c r="D12" s="8" t="inlineStr">
        <is>
          <t>Bank transfer</t>
        </is>
      </c>
      <c r="E12" s="11">
        <f>_xlfn.XLOOKUP(B12,Events!$A$5:$A$2000,Events!$C$5:$C$2000,"Check ID")</f>
        <v/>
      </c>
    </row>
    <row r="13">
      <c r="A13" s="4" t="n">
        <v>46296</v>
      </c>
      <c r="B13" s="8" t="inlineStr">
        <is>
          <t>EV-007</t>
        </is>
      </c>
      <c r="C13" s="9" t="n">
        <v>10000</v>
      </c>
      <c r="D13" s="8" t="inlineStr">
        <is>
          <t>Cash</t>
        </is>
      </c>
      <c r="E13" s="11">
        <f>_xlfn.XLOOKUP(B13,Events!$A$5:$A$2000,Events!$C$5:$C$2000,"Check ID")</f>
        <v/>
      </c>
    </row>
    <row r="14">
      <c r="A14" s="4" t="n">
        <v>46299</v>
      </c>
      <c r="B14" s="8" t="inlineStr">
        <is>
          <t>EV-008</t>
        </is>
      </c>
      <c r="C14" s="9" t="n">
        <v>300000</v>
      </c>
      <c r="D14" s="8" t="inlineStr">
        <is>
          <t>UPI</t>
        </is>
      </c>
      <c r="E14" s="11">
        <f>_xlfn.XLOOKUP(B14,Events!$A$5:$A$2000,Events!$C$5:$C$2000,"Check ID")</f>
        <v/>
      </c>
    </row>
    <row r="15">
      <c r="A15" s="4" t="n">
        <v>46303</v>
      </c>
      <c r="B15" s="8" t="inlineStr">
        <is>
          <t>EV-009</t>
        </is>
      </c>
      <c r="C15" s="9" t="n">
        <v>30000</v>
      </c>
      <c r="D15" s="8" t="inlineStr">
        <is>
          <t>Bank transfer</t>
        </is>
      </c>
      <c r="E15" s="11">
        <f>_xlfn.XLOOKUP(B15,Events!$A$5:$A$2000,Events!$C$5:$C$2000,"Check ID")</f>
        <v/>
      </c>
    </row>
    <row r="16">
      <c r="A16" s="4" t="n">
        <v>46304</v>
      </c>
      <c r="B16" s="8" t="inlineStr">
        <is>
          <t>EV-003</t>
        </is>
      </c>
      <c r="C16" s="9" t="n">
        <v>19400</v>
      </c>
      <c r="D16" s="8" t="inlineStr">
        <is>
          <t>Cash</t>
        </is>
      </c>
      <c r="E16" s="11">
        <f>_xlfn.XLOOKUP(B16,Events!$A$5:$A$2000,Events!$C$5:$C$2000,"Check ID")</f>
        <v/>
      </c>
    </row>
    <row r="17">
      <c r="A17" s="4" t="n">
        <v>46307</v>
      </c>
      <c r="B17" s="8" t="inlineStr">
        <is>
          <t>EV-004</t>
        </is>
      </c>
      <c r="C17" s="9" t="n">
        <v>150000</v>
      </c>
      <c r="D17" s="8" t="inlineStr">
        <is>
          <t>UPI</t>
        </is>
      </c>
      <c r="E17" s="11">
        <f>_xlfn.XLOOKUP(B17,Events!$A$5:$A$2000,Events!$C$5:$C$2000,"Check ID")</f>
        <v/>
      </c>
    </row>
    <row r="18">
      <c r="A18" s="4" t="n">
        <v>46307</v>
      </c>
      <c r="B18" s="8" t="inlineStr">
        <is>
          <t>EV-010</t>
        </is>
      </c>
      <c r="C18" s="9" t="n">
        <v>26250</v>
      </c>
      <c r="D18" s="8" t="inlineStr">
        <is>
          <t>Bank transfer</t>
        </is>
      </c>
      <c r="E18" s="11">
        <f>_xlfn.XLOOKUP(B18,Events!$A$5:$A$2000,Events!$C$5:$C$2000,"Check ID")</f>
        <v/>
      </c>
    </row>
  </sheetData>
  <dataValidations count="1">
    <dataValidation sqref="D5:D2000" showDropDown="0" showInputMessage="0" showErrorMessage="1" allowBlank="1" errorTitle="Not in the list" error="Pick a value from the list" type="list">
      <formula1>=Setup!$F$9:$F$11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</cols>
  <sheetData>
    <row r="1">
      <c r="A1" s="1" t="inlineStr">
        <is>
          <t>Printable kitchen requirement sheet</t>
        </is>
      </c>
    </row>
    <row r="2">
      <c r="A2" s="2" t="inlineStr">
        <is>
          <t>Type an event ID in B4. Quantity = guests × quantity per plate × (1 + buffer). Print A1:D16.</t>
        </is>
      </c>
    </row>
    <row r="3">
      <c r="A3" s="3" t="inlineStr">
        <is>
          <t>Rani Caterers, Solapur</t>
        </is>
      </c>
    </row>
    <row r="4">
      <c r="A4" s="3" t="inlineStr">
        <is>
          <t>Event ID</t>
        </is>
      </c>
      <c r="B4" s="8" t="inlineStr">
        <is>
          <t>EV-008</t>
        </is>
      </c>
    </row>
    <row r="5">
      <c r="A5" s="3" t="inlineStr">
        <is>
          <t>Client</t>
        </is>
      </c>
      <c r="B5" s="11">
        <f>_xlfn.XLOOKUP($B$4,Events!$A$5:$A$2000,Events!$C$5:$C$2000,"Not found")</f>
        <v/>
      </c>
    </row>
    <row r="6">
      <c r="A6" s="3" t="inlineStr">
        <is>
          <t>Event date</t>
        </is>
      </c>
      <c r="B6" s="13">
        <f>_xlfn.XLOOKUP($B$4,Events!$A$5:$A$2000,Events!$E$5:$E$2000,"Not found")</f>
        <v/>
      </c>
    </row>
    <row r="7">
      <c r="A7" s="3" t="inlineStr">
        <is>
          <t>Package</t>
        </is>
      </c>
      <c r="B7" s="11">
        <f>_xlfn.XLOOKUP($B$4,Events!$A$5:$A$2000,Events!$F$5:$F$2000,"Not found")</f>
        <v/>
      </c>
    </row>
    <row r="8">
      <c r="A8" s="3" t="inlineStr">
        <is>
          <t>Guests</t>
        </is>
      </c>
      <c r="B8" s="11">
        <f>_xlfn.XLOOKUP($B$4,Events!$A$5:$A$2000,Events!$G$5:$G$2000,"Not found")</f>
        <v/>
      </c>
    </row>
    <row r="9">
      <c r="A9" s="6" t="inlineStr">
        <is>
          <t>Item</t>
        </is>
      </c>
      <c r="B9" s="6" t="inlineStr">
        <is>
          <t>Per plate</t>
        </is>
      </c>
      <c r="C9" s="6" t="inlineStr">
        <is>
          <t>Total to buy</t>
        </is>
      </c>
    </row>
    <row r="10">
      <c r="A10" s="11">
        <f>Quantities!A5</f>
        <v/>
      </c>
      <c r="B10" s="14">
        <f>INDEX(Quantities!$B$5:$E$5,MATCH($B$7,Quantities!$B$4:$E$4,0))</f>
        <v/>
      </c>
      <c r="C10" s="15">
        <f>ROUND($B$8*B10*(1+Setup!$B$6),1)</f>
        <v/>
      </c>
    </row>
    <row r="11">
      <c r="A11" s="11">
        <f>Quantities!A6</f>
        <v/>
      </c>
      <c r="B11" s="14">
        <f>INDEX(Quantities!$B$6:$E$6,MATCH($B$7,Quantities!$B$4:$E$4,0))</f>
        <v/>
      </c>
      <c r="C11" s="15">
        <f>ROUND($B$8*B11*(1+Setup!$B$6),1)</f>
        <v/>
      </c>
    </row>
    <row r="12">
      <c r="A12" s="11">
        <f>Quantities!A7</f>
        <v/>
      </c>
      <c r="B12" s="14">
        <f>INDEX(Quantities!$B$7:$E$7,MATCH($B$7,Quantities!$B$4:$E$4,0))</f>
        <v/>
      </c>
      <c r="C12" s="15">
        <f>ROUND($B$8*B12*(1+Setup!$B$6),1)</f>
        <v/>
      </c>
    </row>
    <row r="13">
      <c r="A13" s="11">
        <f>Quantities!A8</f>
        <v/>
      </c>
      <c r="B13" s="14">
        <f>INDEX(Quantities!$B$8:$E$8,MATCH($B$7,Quantities!$B$4:$E$4,0))</f>
        <v/>
      </c>
      <c r="C13" s="15">
        <f>ROUND($B$8*B13*(1+Setup!$B$6),1)</f>
        <v/>
      </c>
    </row>
    <row r="14">
      <c r="A14" s="11">
        <f>Quantities!A9</f>
        <v/>
      </c>
      <c r="B14" s="14">
        <f>INDEX(Quantities!$B$9:$E$9,MATCH($B$7,Quantities!$B$4:$E$4,0))</f>
        <v/>
      </c>
      <c r="C14" s="15">
        <f>ROUND($B$8*B14*(1+Setup!$B$6),1)</f>
        <v/>
      </c>
    </row>
    <row r="15">
      <c r="A15" s="11">
        <f>Quantities!A10</f>
        <v/>
      </c>
      <c r="B15" s="14">
        <f>INDEX(Quantities!$B$10:$E$10,MATCH($B$7,Quantities!$B$4:$E$4,0))</f>
        <v/>
      </c>
      <c r="C15" s="15">
        <f>ROUND($B$8*B15*(1+Setup!$B$6),1)</f>
        <v/>
      </c>
    </row>
    <row r="16">
      <c r="A16" s="11">
        <f>Quantities!A11</f>
        <v/>
      </c>
      <c r="B16" s="14">
        <f>INDEX(Quantities!$B$11:$E$11,MATCH($B$7,Quantities!$B$4:$E$4,0))</f>
        <v/>
      </c>
      <c r="C16" s="15">
        <f>ROUND($B$8*B16*(1+Setup!$B$6),1)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7" customWidth="1" min="1" max="1"/>
    <col width="8" customWidth="1" min="2" max="2"/>
    <col width="10" customWidth="1" min="3" max="3"/>
    <col width="12" customWidth="1" min="4" max="4"/>
    <col width="12" customWidth="1" min="5" max="5"/>
    <col width="9" customWidth="1" min="6" max="6"/>
  </cols>
  <sheetData>
    <row r="1">
      <c r="A1" s="1" t="inlineStr">
        <is>
          <t>Report by event type and package</t>
        </is>
      </c>
    </row>
    <row r="2">
      <c r="A2" s="2" t="inlineStr">
        <is>
          <t>Amounts before GST.</t>
        </is>
      </c>
    </row>
    <row r="4">
      <c r="A4" s="6" t="inlineStr">
        <is>
          <t>Event type</t>
        </is>
      </c>
      <c r="B4" s="6" t="inlineStr">
        <is>
          <t>Events</t>
        </is>
      </c>
      <c r="C4" s="6" t="inlineStr">
        <is>
          <t>Guests</t>
        </is>
      </c>
      <c r="D4" s="6" t="inlineStr">
        <is>
          <t>Amount (₹)</t>
        </is>
      </c>
      <c r="E4" s="6" t="inlineStr">
        <is>
          <t>Margin (₹)</t>
        </is>
      </c>
      <c r="F4" s="6" t="inlineStr">
        <is>
          <t>Margin %</t>
        </is>
      </c>
    </row>
    <row r="5">
      <c r="A5" s="11">
        <f>Setup!E9</f>
        <v/>
      </c>
      <c r="B5" s="11">
        <f>COUNTIF(Events!$D$5:$D$2000,A5)</f>
        <v/>
      </c>
      <c r="C5" s="11">
        <f>SUMIFS(Events!$G$5:$G$2000,Events!$D$5:$D$2000,A5)</f>
        <v/>
      </c>
      <c r="D5" s="12">
        <f>SUMIFS(Events!$J$5:$J$2000,Events!$D$5:$D$2000,A5)</f>
        <v/>
      </c>
      <c r="E5" s="12">
        <f>SUMIFS(Events!$Q$5:$Q$2000,Events!$D$5:$D$2000,A5)</f>
        <v/>
      </c>
      <c r="F5" s="16">
        <f>IFERROR(E5/D5,0)</f>
        <v/>
      </c>
    </row>
    <row r="6">
      <c r="A6" s="11">
        <f>Setup!E10</f>
        <v/>
      </c>
      <c r="B6" s="11">
        <f>COUNTIF(Events!$D$5:$D$2000,A6)</f>
        <v/>
      </c>
      <c r="C6" s="11">
        <f>SUMIFS(Events!$G$5:$G$2000,Events!$D$5:$D$2000,A6)</f>
        <v/>
      </c>
      <c r="D6" s="12">
        <f>SUMIFS(Events!$J$5:$J$2000,Events!$D$5:$D$2000,A6)</f>
        <v/>
      </c>
      <c r="E6" s="12">
        <f>SUMIFS(Events!$Q$5:$Q$2000,Events!$D$5:$D$2000,A6)</f>
        <v/>
      </c>
      <c r="F6" s="16">
        <f>IFERROR(E6/D6,0)</f>
        <v/>
      </c>
    </row>
    <row r="7">
      <c r="A7" s="11">
        <f>Setup!E11</f>
        <v/>
      </c>
      <c r="B7" s="11">
        <f>COUNTIF(Events!$D$5:$D$2000,A7)</f>
        <v/>
      </c>
      <c r="C7" s="11">
        <f>SUMIFS(Events!$G$5:$G$2000,Events!$D$5:$D$2000,A7)</f>
        <v/>
      </c>
      <c r="D7" s="12">
        <f>SUMIFS(Events!$J$5:$J$2000,Events!$D$5:$D$2000,A7)</f>
        <v/>
      </c>
      <c r="E7" s="12">
        <f>SUMIFS(Events!$Q$5:$Q$2000,Events!$D$5:$D$2000,A7)</f>
        <v/>
      </c>
      <c r="F7" s="16">
        <f>IFERROR(E7/D7,0)</f>
        <v/>
      </c>
    </row>
    <row r="8">
      <c r="A8" s="11">
        <f>Setup!E12</f>
        <v/>
      </c>
      <c r="B8" s="11">
        <f>COUNTIF(Events!$D$5:$D$2000,A8)</f>
        <v/>
      </c>
      <c r="C8" s="11">
        <f>SUMIFS(Events!$G$5:$G$2000,Events!$D$5:$D$2000,A8)</f>
        <v/>
      </c>
      <c r="D8" s="12">
        <f>SUMIFS(Events!$J$5:$J$2000,Events!$D$5:$D$2000,A8)</f>
        <v/>
      </c>
      <c r="E8" s="12">
        <f>SUMIFS(Events!$Q$5:$Q$2000,Events!$D$5:$D$2000,A8)</f>
        <v/>
      </c>
      <c r="F8" s="16">
        <f>IFERROR(E8/D8,0)</f>
        <v/>
      </c>
    </row>
    <row r="9">
      <c r="A9" s="17" t="inlineStr">
        <is>
          <t>Total</t>
        </is>
      </c>
      <c r="B9" s="17">
        <f>SUM(B5:B8)</f>
        <v/>
      </c>
      <c r="C9" s="17">
        <f>SUM(C5:C8)</f>
        <v/>
      </c>
      <c r="D9" s="18">
        <f>SUM(D5:D8)</f>
        <v/>
      </c>
      <c r="E9" s="18">
        <f>SUM(E5:E8)</f>
        <v/>
      </c>
    </row>
    <row r="11">
      <c r="A11" s="6" t="inlineStr">
        <is>
          <t>Package</t>
        </is>
      </c>
      <c r="B11" s="6" t="inlineStr">
        <is>
          <t>Plates</t>
        </is>
      </c>
      <c r="C11" s="6" t="inlineStr">
        <is>
          <t>Food cost (₹)</t>
        </is>
      </c>
    </row>
    <row r="12">
      <c r="A12" s="11">
        <f>Setup!A9</f>
        <v/>
      </c>
      <c r="B12" s="11">
        <f>SUMIFS(Events!$G$5:$G$2000,Events!$F$5:$F$2000,A12)</f>
        <v/>
      </c>
      <c r="C12" s="12">
        <f>SUMIFS(Events!$O$5:$O$2000,Events!$F$5:$F$2000,A12)</f>
        <v/>
      </c>
    </row>
    <row r="13">
      <c r="A13" s="11">
        <f>Setup!A10</f>
        <v/>
      </c>
      <c r="B13" s="11">
        <f>SUMIFS(Events!$G$5:$G$2000,Events!$F$5:$F$2000,A13)</f>
        <v/>
      </c>
      <c r="C13" s="12">
        <f>SUMIFS(Events!$O$5:$O$2000,Events!$F$5:$F$2000,A13)</f>
        <v/>
      </c>
    </row>
    <row r="14">
      <c r="A14" s="11">
        <f>Setup!A11</f>
        <v/>
      </c>
      <c r="B14" s="11">
        <f>SUMIFS(Events!$G$5:$G$2000,Events!$F$5:$F$2000,A14)</f>
        <v/>
      </c>
      <c r="C14" s="12">
        <f>SUMIFS(Events!$O$5:$O$2000,Events!$F$5:$F$2000,A14)</f>
        <v/>
      </c>
    </row>
    <row r="15">
      <c r="A15" s="11">
        <f>Setup!A12</f>
        <v/>
      </c>
      <c r="B15" s="11">
        <f>SUMIFS(Events!$G$5:$G$2000,Events!$F$5:$F$2000,A15)</f>
        <v/>
      </c>
      <c r="C15" s="12">
        <f>SUMIFS(Events!$O$5:$O$2000,Events!$F$5:$F$2000,A15)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Catering dashboard: events in 2026</t>
        </is>
      </c>
    </row>
    <row r="2">
      <c r="A2" s="2" t="inlineStr">
        <is>
          <t>Formulas over Events and Report.</t>
        </is>
      </c>
    </row>
    <row r="4" ht="32" customHeight="1">
      <c r="A4" s="6" t="inlineStr">
        <is>
          <t>Events</t>
        </is>
      </c>
      <c r="B4" s="6" t="inlineStr">
        <is>
          <t>Guests served or booked</t>
        </is>
      </c>
      <c r="C4" s="6" t="inlineStr">
        <is>
          <t>Amount before GST</t>
        </is>
      </c>
      <c r="D4" s="6" t="inlineStr">
        <is>
          <t>Margin %</t>
        </is>
      </c>
      <c r="E4" s="6" t="inlineStr">
        <is>
          <t>Balance to collect</t>
        </is>
      </c>
      <c r="F4" s="6" t="inlineStr">
        <is>
          <t>Need follow-up</t>
        </is>
      </c>
    </row>
    <row r="5" ht="30" customHeight="1">
      <c r="A5" s="19">
        <f>COUNTA(Events!$C$5:$C$2000)</f>
        <v/>
      </c>
      <c r="B5" s="19">
        <f>Report!C9</f>
        <v/>
      </c>
      <c r="C5" s="20">
        <f>Report!D9</f>
        <v/>
      </c>
      <c r="D5" s="21">
        <f>Report!E9/Report!D9</f>
        <v/>
      </c>
      <c r="E5" s="20">
        <f>SUM(Events!$N$5:$N$2000)</f>
        <v/>
      </c>
      <c r="F5" s="19">
        <f>COUNTIF(Events!$R$5:$R$2000,"Collect balance")+COUNTIF(Events!$R$5:$R$2000,"Advance due")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